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0" documentId="8_{B6099A48-E443-49C1-83DC-3615DE7F74A8}" xr6:coauthVersionLast="47" xr6:coauthVersionMax="47" xr10:uidLastSave="{00000000-0000-0000-0000-000000000000}"/>
  <bookViews>
    <workbookView xWindow="300" yWindow="20565" windowWidth="26100" windowHeight="11655" xr2:uid="{DCEE3686-019B-4EC5-AADC-D28DFE82570C}"/>
  </bookViews>
  <sheets>
    <sheet name="DASH" sheetId="3" r:id="rId1"/>
    <sheet name="justo" sheetId="1" r:id="rId2"/>
    <sheet name="dados" sheetId="2" r:id="rId3"/>
    <sheet name="Planilha1" sheetId="4" r:id="rId4"/>
    <sheet name="Importa do PROFIT" sheetId="5" r:id="rId5"/>
  </sheets>
  <definedNames>
    <definedName name="_xlnm._FilterDatabase" localSheetId="2" hidden="1">dados!$B$5:$F$89</definedName>
    <definedName name="feriadosWIN">dados!$AB$9:$AB$22</definedName>
    <definedName name="hoje">dados!$AC$5</definedName>
    <definedName name="vencimento">dados!$AC$6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6" i="2" l="1"/>
  <c r="AO86" i="2"/>
  <c r="AP86" i="2"/>
  <c r="AQ86" i="2"/>
  <c r="AR86" i="2"/>
  <c r="AS86" i="2"/>
  <c r="AT86" i="2"/>
  <c r="AU86" i="2"/>
  <c r="AV86" i="2"/>
  <c r="AW86" i="2"/>
  <c r="AX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AN87" i="2"/>
  <c r="AO87" i="2"/>
  <c r="AP87" i="2"/>
  <c r="AQ87" i="2"/>
  <c r="AR87" i="2"/>
  <c r="AS87" i="2"/>
  <c r="AT87" i="2"/>
  <c r="AU87" i="2"/>
  <c r="AV87" i="2"/>
  <c r="AW87" i="2"/>
  <c r="AX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AN88" i="2"/>
  <c r="AO88" i="2"/>
  <c r="AP88" i="2"/>
  <c r="AQ88" i="2"/>
  <c r="AR88" i="2"/>
  <c r="AS88" i="2"/>
  <c r="AT88" i="2"/>
  <c r="AU88" i="2"/>
  <c r="AV88" i="2"/>
  <c r="AW88" i="2"/>
  <c r="AX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AN89" i="2"/>
  <c r="AO89" i="2"/>
  <c r="AP89" i="2"/>
  <c r="AQ89" i="2"/>
  <c r="AR89" i="2"/>
  <c r="AS89" i="2"/>
  <c r="AT89" i="2"/>
  <c r="AU89" i="2"/>
  <c r="AV89" i="2"/>
  <c r="AW89" i="2"/>
  <c r="AX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AN90" i="2"/>
  <c r="AO90" i="2"/>
  <c r="AP90" i="2"/>
  <c r="AQ90" i="2"/>
  <c r="AR90" i="2"/>
  <c r="AS90" i="2"/>
  <c r="AT90" i="2"/>
  <c r="AU90" i="2"/>
  <c r="AV90" i="2"/>
  <c r="AW90" i="2"/>
  <c r="AX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AN91" i="2"/>
  <c r="AO91" i="2"/>
  <c r="AP91" i="2"/>
  <c r="AQ91" i="2"/>
  <c r="AR91" i="2"/>
  <c r="AS91" i="2"/>
  <c r="AT91" i="2"/>
  <c r="AU91" i="2"/>
  <c r="AV91" i="2"/>
  <c r="AW91" i="2"/>
  <c r="AX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AN92" i="2"/>
  <c r="AO92" i="2"/>
  <c r="AP92" i="2"/>
  <c r="AQ92" i="2"/>
  <c r="AR92" i="2"/>
  <c r="AS92" i="2"/>
  <c r="AT92" i="2"/>
  <c r="AU92" i="2"/>
  <c r="AV92" i="2"/>
  <c r="AW92" i="2"/>
  <c r="AX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AP17" i="2"/>
  <c r="J5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J60" i="2"/>
  <c r="J61" i="2"/>
  <c r="J62" i="2"/>
  <c r="L60" i="2"/>
  <c r="L61" i="2"/>
  <c r="M60" i="2" l="1"/>
  <c r="Y60" i="2" l="1"/>
  <c r="P60" i="2"/>
  <c r="O60" i="2"/>
  <c r="H38" i="3"/>
  <c r="H42" i="3"/>
  <c r="G43" i="3"/>
  <c r="C44" i="3"/>
  <c r="G44" i="3"/>
  <c r="H44" i="3"/>
  <c r="G39" i="3"/>
  <c r="G40" i="3"/>
  <c r="G41" i="3"/>
  <c r="G42" i="3"/>
  <c r="C39" i="3"/>
  <c r="H39" i="3"/>
  <c r="C40" i="3"/>
  <c r="H40" i="3"/>
  <c r="C41" i="3"/>
  <c r="H41" i="3"/>
  <c r="C42" i="3"/>
  <c r="B3" i="2"/>
  <c r="H37" i="3"/>
  <c r="H36" i="3"/>
  <c r="Z60" i="2" l="1"/>
  <c r="H43" i="3"/>
  <c r="S22" i="3" s="1"/>
  <c r="C43" i="3"/>
  <c r="C37" i="3"/>
  <c r="G34" i="3"/>
  <c r="C38" i="3"/>
  <c r="C36" i="3"/>
  <c r="G38" i="3"/>
  <c r="G36" i="3"/>
  <c r="K7" i="2"/>
  <c r="K8" i="2"/>
  <c r="M61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9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AC4" i="2"/>
  <c r="S21" i="3"/>
  <c r="S23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Y61" i="2" l="1"/>
  <c r="O61" i="2"/>
  <c r="P61" i="2"/>
  <c r="G37" i="3"/>
  <c r="AN6" i="2"/>
  <c r="AO6" i="2"/>
  <c r="AP6" i="2"/>
  <c r="AQ6" i="2"/>
  <c r="AN7" i="2"/>
  <c r="AO7" i="2"/>
  <c r="AP7" i="2"/>
  <c r="AQ7" i="2"/>
  <c r="AN8" i="2"/>
  <c r="AO8" i="2"/>
  <c r="AP8" i="2"/>
  <c r="AQ8" i="2"/>
  <c r="AN9" i="2"/>
  <c r="AO9" i="2"/>
  <c r="AP9" i="2"/>
  <c r="AQ9" i="2"/>
  <c r="AN10" i="2"/>
  <c r="AO10" i="2"/>
  <c r="AP10" i="2"/>
  <c r="AQ10" i="2"/>
  <c r="AN11" i="2"/>
  <c r="AO11" i="2"/>
  <c r="AP11" i="2"/>
  <c r="AQ11" i="2"/>
  <c r="AN12" i="2"/>
  <c r="AO12" i="2"/>
  <c r="AP12" i="2"/>
  <c r="AQ12" i="2"/>
  <c r="AN13" i="2"/>
  <c r="AO13" i="2"/>
  <c r="AP13" i="2"/>
  <c r="AQ13" i="2"/>
  <c r="AN14" i="2"/>
  <c r="AO14" i="2"/>
  <c r="AP14" i="2"/>
  <c r="AQ14" i="2"/>
  <c r="AN15" i="2"/>
  <c r="AO15" i="2"/>
  <c r="AP15" i="2"/>
  <c r="AQ15" i="2"/>
  <c r="AN16" i="2"/>
  <c r="AO16" i="2"/>
  <c r="AP16" i="2"/>
  <c r="AQ16" i="2"/>
  <c r="AN17" i="2"/>
  <c r="AO17" i="2"/>
  <c r="AQ17" i="2"/>
  <c r="AN18" i="2"/>
  <c r="AO18" i="2"/>
  <c r="AP18" i="2"/>
  <c r="AQ18" i="2"/>
  <c r="AN19" i="2"/>
  <c r="AO19" i="2"/>
  <c r="AP19" i="2"/>
  <c r="AQ19" i="2"/>
  <c r="AN20" i="2"/>
  <c r="AO20" i="2"/>
  <c r="AP20" i="2"/>
  <c r="AQ20" i="2"/>
  <c r="AN21" i="2"/>
  <c r="AO21" i="2"/>
  <c r="AP21" i="2"/>
  <c r="AQ21" i="2"/>
  <c r="AN22" i="2"/>
  <c r="AO22" i="2"/>
  <c r="AP22" i="2"/>
  <c r="AQ22" i="2"/>
  <c r="AN23" i="2"/>
  <c r="AO23" i="2"/>
  <c r="AP23" i="2"/>
  <c r="AQ23" i="2"/>
  <c r="AN24" i="2"/>
  <c r="AO24" i="2"/>
  <c r="AP24" i="2"/>
  <c r="AQ24" i="2"/>
  <c r="AN25" i="2"/>
  <c r="AO25" i="2"/>
  <c r="AP25" i="2"/>
  <c r="AQ25" i="2"/>
  <c r="AN26" i="2"/>
  <c r="AO26" i="2"/>
  <c r="AP26" i="2"/>
  <c r="AQ26" i="2"/>
  <c r="AN27" i="2"/>
  <c r="AO27" i="2"/>
  <c r="AP27" i="2"/>
  <c r="AQ27" i="2"/>
  <c r="AN28" i="2"/>
  <c r="AO28" i="2"/>
  <c r="AP28" i="2"/>
  <c r="AQ28" i="2"/>
  <c r="AN29" i="2"/>
  <c r="AO29" i="2"/>
  <c r="AP29" i="2"/>
  <c r="AQ29" i="2"/>
  <c r="AN30" i="2"/>
  <c r="AO30" i="2"/>
  <c r="AP30" i="2"/>
  <c r="AQ30" i="2"/>
  <c r="AN31" i="2"/>
  <c r="AO31" i="2"/>
  <c r="AP31" i="2"/>
  <c r="AQ31" i="2"/>
  <c r="AN32" i="2"/>
  <c r="AO32" i="2"/>
  <c r="AP32" i="2"/>
  <c r="AQ32" i="2"/>
  <c r="AN33" i="2"/>
  <c r="AO33" i="2"/>
  <c r="AP33" i="2"/>
  <c r="AQ33" i="2"/>
  <c r="AN34" i="2"/>
  <c r="AO34" i="2"/>
  <c r="AP34" i="2"/>
  <c r="AQ34" i="2"/>
  <c r="AN35" i="2"/>
  <c r="AO35" i="2"/>
  <c r="AP35" i="2"/>
  <c r="AQ35" i="2"/>
  <c r="AN36" i="2"/>
  <c r="AO36" i="2"/>
  <c r="AP36" i="2"/>
  <c r="AQ36" i="2"/>
  <c r="AN37" i="2"/>
  <c r="AO37" i="2"/>
  <c r="AP37" i="2"/>
  <c r="AQ37" i="2"/>
  <c r="AN38" i="2"/>
  <c r="AO38" i="2"/>
  <c r="AP38" i="2"/>
  <c r="AQ38" i="2"/>
  <c r="AN39" i="2"/>
  <c r="AO39" i="2"/>
  <c r="AP39" i="2"/>
  <c r="AQ39" i="2"/>
  <c r="AN40" i="2"/>
  <c r="AO40" i="2"/>
  <c r="AP40" i="2"/>
  <c r="AQ40" i="2"/>
  <c r="AN41" i="2"/>
  <c r="AO41" i="2"/>
  <c r="AP41" i="2"/>
  <c r="AQ41" i="2"/>
  <c r="AN42" i="2"/>
  <c r="AO42" i="2"/>
  <c r="AP42" i="2"/>
  <c r="AQ42" i="2"/>
  <c r="AN43" i="2"/>
  <c r="AO43" i="2"/>
  <c r="AP43" i="2"/>
  <c r="AQ43" i="2"/>
  <c r="AN44" i="2"/>
  <c r="AO44" i="2"/>
  <c r="AP44" i="2"/>
  <c r="AQ44" i="2"/>
  <c r="AN45" i="2"/>
  <c r="AO45" i="2"/>
  <c r="AP45" i="2"/>
  <c r="AQ45" i="2"/>
  <c r="AN46" i="2"/>
  <c r="AO46" i="2"/>
  <c r="AP46" i="2"/>
  <c r="AQ46" i="2"/>
  <c r="AN47" i="2"/>
  <c r="AO47" i="2"/>
  <c r="AP47" i="2"/>
  <c r="AQ47" i="2"/>
  <c r="AN48" i="2"/>
  <c r="AO48" i="2"/>
  <c r="AP48" i="2"/>
  <c r="AQ48" i="2"/>
  <c r="AN49" i="2"/>
  <c r="AO49" i="2"/>
  <c r="AP49" i="2"/>
  <c r="AQ49" i="2"/>
  <c r="AN50" i="2"/>
  <c r="AO50" i="2"/>
  <c r="AP50" i="2"/>
  <c r="AQ50" i="2"/>
  <c r="AN51" i="2"/>
  <c r="AO51" i="2"/>
  <c r="AP51" i="2"/>
  <c r="AQ51" i="2"/>
  <c r="AN52" i="2"/>
  <c r="AO52" i="2"/>
  <c r="AP52" i="2"/>
  <c r="AQ52" i="2"/>
  <c r="AN53" i="2"/>
  <c r="AO53" i="2"/>
  <c r="AP53" i="2"/>
  <c r="AQ53" i="2"/>
  <c r="AN54" i="2"/>
  <c r="AO54" i="2"/>
  <c r="AP54" i="2"/>
  <c r="AQ54" i="2"/>
  <c r="AN55" i="2"/>
  <c r="AO55" i="2"/>
  <c r="AP55" i="2"/>
  <c r="AQ55" i="2"/>
  <c r="AN56" i="2"/>
  <c r="AO56" i="2"/>
  <c r="AP56" i="2"/>
  <c r="AQ56" i="2"/>
  <c r="AN57" i="2"/>
  <c r="AO57" i="2"/>
  <c r="AP57" i="2"/>
  <c r="AQ57" i="2"/>
  <c r="AN58" i="2"/>
  <c r="AO58" i="2"/>
  <c r="AP58" i="2"/>
  <c r="AQ58" i="2"/>
  <c r="AN59" i="2"/>
  <c r="AO59" i="2"/>
  <c r="AP59" i="2"/>
  <c r="AQ59" i="2"/>
  <c r="AN60" i="2"/>
  <c r="AO60" i="2"/>
  <c r="AP60" i="2"/>
  <c r="AQ60" i="2"/>
  <c r="AN61" i="2"/>
  <c r="AO61" i="2"/>
  <c r="AP61" i="2"/>
  <c r="AQ61" i="2"/>
  <c r="AN62" i="2"/>
  <c r="AO62" i="2"/>
  <c r="AP62" i="2"/>
  <c r="AQ62" i="2"/>
  <c r="AN63" i="2"/>
  <c r="AO63" i="2"/>
  <c r="AP63" i="2"/>
  <c r="AQ63" i="2"/>
  <c r="AN64" i="2"/>
  <c r="AO64" i="2"/>
  <c r="AP64" i="2"/>
  <c r="AQ64" i="2"/>
  <c r="AN65" i="2"/>
  <c r="AO65" i="2"/>
  <c r="AP65" i="2"/>
  <c r="AQ65" i="2"/>
  <c r="AN66" i="2"/>
  <c r="AO66" i="2"/>
  <c r="AP66" i="2"/>
  <c r="AQ66" i="2"/>
  <c r="AN67" i="2"/>
  <c r="AO67" i="2"/>
  <c r="AP67" i="2"/>
  <c r="AQ67" i="2"/>
  <c r="AN68" i="2"/>
  <c r="AO68" i="2"/>
  <c r="AP68" i="2"/>
  <c r="AQ68" i="2"/>
  <c r="AN69" i="2"/>
  <c r="AO69" i="2"/>
  <c r="AP69" i="2"/>
  <c r="AQ69" i="2"/>
  <c r="AN70" i="2"/>
  <c r="AO70" i="2"/>
  <c r="AP70" i="2"/>
  <c r="AQ70" i="2"/>
  <c r="AN71" i="2"/>
  <c r="AO71" i="2"/>
  <c r="AP71" i="2"/>
  <c r="AQ71" i="2"/>
  <c r="AN72" i="2"/>
  <c r="AO72" i="2"/>
  <c r="AP72" i="2"/>
  <c r="AQ72" i="2"/>
  <c r="AN73" i="2"/>
  <c r="AO73" i="2"/>
  <c r="AP73" i="2"/>
  <c r="AQ73" i="2"/>
  <c r="AN74" i="2"/>
  <c r="AO74" i="2"/>
  <c r="AP74" i="2"/>
  <c r="AQ74" i="2"/>
  <c r="AN75" i="2"/>
  <c r="AO75" i="2"/>
  <c r="AP75" i="2"/>
  <c r="AQ75" i="2"/>
  <c r="AN76" i="2"/>
  <c r="AO76" i="2"/>
  <c r="AP76" i="2"/>
  <c r="AQ76" i="2"/>
  <c r="AN77" i="2"/>
  <c r="AO77" i="2"/>
  <c r="AP77" i="2"/>
  <c r="AQ77" i="2"/>
  <c r="AN78" i="2"/>
  <c r="AO78" i="2"/>
  <c r="AP78" i="2"/>
  <c r="AQ78" i="2"/>
  <c r="AN79" i="2"/>
  <c r="AO79" i="2"/>
  <c r="AP79" i="2"/>
  <c r="AQ79" i="2"/>
  <c r="AN80" i="2"/>
  <c r="AO80" i="2"/>
  <c r="AP80" i="2"/>
  <c r="AQ80" i="2"/>
  <c r="AN81" i="2"/>
  <c r="AO81" i="2"/>
  <c r="AP81" i="2"/>
  <c r="AQ81" i="2"/>
  <c r="AN82" i="2"/>
  <c r="AO82" i="2"/>
  <c r="AP82" i="2"/>
  <c r="AQ82" i="2"/>
  <c r="AN83" i="2"/>
  <c r="AO83" i="2"/>
  <c r="AP83" i="2"/>
  <c r="AQ83" i="2"/>
  <c r="AN84" i="2"/>
  <c r="AO84" i="2"/>
  <c r="AP84" i="2"/>
  <c r="AQ84" i="2"/>
  <c r="AN85" i="2"/>
  <c r="AO85" i="2"/>
  <c r="AP85" i="2"/>
  <c r="AQ85" i="2"/>
  <c r="Z61" i="2" l="1"/>
  <c r="S38" i="3"/>
  <c r="S39" i="3"/>
  <c r="D4" i="5" l="1"/>
  <c r="E4" i="5"/>
  <c r="F4" i="5"/>
  <c r="G4" i="5"/>
  <c r="H4" i="5"/>
  <c r="I4" i="5"/>
  <c r="J4" i="5"/>
  <c r="K4" i="5"/>
  <c r="L4" i="5"/>
  <c r="M4" i="5"/>
  <c r="N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D5" i="5"/>
  <c r="E5" i="5"/>
  <c r="F5" i="5"/>
  <c r="G5" i="5"/>
  <c r="H5" i="5"/>
  <c r="I5" i="5"/>
  <c r="J5" i="5"/>
  <c r="K5" i="5"/>
  <c r="L5" i="5"/>
  <c r="M5" i="5"/>
  <c r="N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D6" i="5"/>
  <c r="E6" i="5"/>
  <c r="F6" i="5"/>
  <c r="G6" i="5"/>
  <c r="H6" i="5"/>
  <c r="I6" i="5"/>
  <c r="J6" i="5"/>
  <c r="K6" i="5"/>
  <c r="L6" i="5"/>
  <c r="M6" i="5"/>
  <c r="N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D7" i="5"/>
  <c r="E7" i="5"/>
  <c r="F7" i="5"/>
  <c r="G7" i="5"/>
  <c r="H7" i="5"/>
  <c r="I7" i="5"/>
  <c r="J7" i="5"/>
  <c r="K7" i="5"/>
  <c r="L7" i="5"/>
  <c r="M7" i="5"/>
  <c r="N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D8" i="5"/>
  <c r="E8" i="5"/>
  <c r="F8" i="5"/>
  <c r="G8" i="5"/>
  <c r="H8" i="5"/>
  <c r="I8" i="5"/>
  <c r="J8" i="5"/>
  <c r="K8" i="5"/>
  <c r="L8" i="5"/>
  <c r="M8" i="5"/>
  <c r="N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D9" i="5"/>
  <c r="E9" i="5"/>
  <c r="F9" i="5"/>
  <c r="G9" i="5"/>
  <c r="H9" i="5"/>
  <c r="I9" i="5"/>
  <c r="J9" i="5"/>
  <c r="K9" i="5"/>
  <c r="L9" i="5"/>
  <c r="M9" i="5"/>
  <c r="N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D10" i="5"/>
  <c r="E10" i="5"/>
  <c r="F10" i="5"/>
  <c r="G10" i="5"/>
  <c r="H10" i="5"/>
  <c r="I10" i="5"/>
  <c r="J10" i="5"/>
  <c r="K10" i="5"/>
  <c r="L10" i="5"/>
  <c r="M10" i="5"/>
  <c r="N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D11" i="5"/>
  <c r="E11" i="5"/>
  <c r="F11" i="5"/>
  <c r="G11" i="5"/>
  <c r="H11" i="5"/>
  <c r="I11" i="5"/>
  <c r="J11" i="5"/>
  <c r="K11" i="5"/>
  <c r="L11" i="5"/>
  <c r="M11" i="5"/>
  <c r="N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D12" i="5"/>
  <c r="E12" i="5"/>
  <c r="F12" i="5"/>
  <c r="G12" i="5"/>
  <c r="H12" i="5"/>
  <c r="I12" i="5"/>
  <c r="J12" i="5"/>
  <c r="K12" i="5"/>
  <c r="L12" i="5"/>
  <c r="M12" i="5"/>
  <c r="N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D13" i="5"/>
  <c r="E13" i="5"/>
  <c r="F13" i="5"/>
  <c r="G13" i="5"/>
  <c r="H13" i="5"/>
  <c r="I13" i="5"/>
  <c r="J13" i="5"/>
  <c r="K13" i="5"/>
  <c r="L13" i="5"/>
  <c r="M13" i="5"/>
  <c r="N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D14" i="5"/>
  <c r="E14" i="5"/>
  <c r="F14" i="5"/>
  <c r="G14" i="5"/>
  <c r="H14" i="5"/>
  <c r="I14" i="5"/>
  <c r="J14" i="5"/>
  <c r="K14" i="5"/>
  <c r="L14" i="5"/>
  <c r="M14" i="5"/>
  <c r="N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D15" i="5"/>
  <c r="E15" i="5"/>
  <c r="F15" i="5"/>
  <c r="G15" i="5"/>
  <c r="H15" i="5"/>
  <c r="I15" i="5"/>
  <c r="J15" i="5"/>
  <c r="K15" i="5"/>
  <c r="L15" i="5"/>
  <c r="M15" i="5"/>
  <c r="N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D16" i="5"/>
  <c r="E16" i="5"/>
  <c r="F16" i="5"/>
  <c r="G16" i="5"/>
  <c r="H16" i="5"/>
  <c r="I16" i="5"/>
  <c r="J16" i="5"/>
  <c r="K16" i="5"/>
  <c r="L16" i="5"/>
  <c r="M16" i="5"/>
  <c r="N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D17" i="5"/>
  <c r="E17" i="5"/>
  <c r="F17" i="5"/>
  <c r="G17" i="5"/>
  <c r="H17" i="5"/>
  <c r="I17" i="5"/>
  <c r="J17" i="5"/>
  <c r="K17" i="5"/>
  <c r="L17" i="5"/>
  <c r="M17" i="5"/>
  <c r="N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D18" i="5"/>
  <c r="E18" i="5"/>
  <c r="F18" i="5"/>
  <c r="G18" i="5"/>
  <c r="H18" i="5"/>
  <c r="I18" i="5"/>
  <c r="J18" i="5"/>
  <c r="K18" i="5"/>
  <c r="L18" i="5"/>
  <c r="M18" i="5"/>
  <c r="N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D19" i="5"/>
  <c r="E19" i="5"/>
  <c r="F19" i="5"/>
  <c r="G19" i="5"/>
  <c r="H19" i="5"/>
  <c r="I19" i="5"/>
  <c r="J19" i="5"/>
  <c r="K19" i="5"/>
  <c r="L19" i="5"/>
  <c r="M19" i="5"/>
  <c r="N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D20" i="5"/>
  <c r="E20" i="5"/>
  <c r="F20" i="5"/>
  <c r="G20" i="5"/>
  <c r="H20" i="5"/>
  <c r="I20" i="5"/>
  <c r="J20" i="5"/>
  <c r="K20" i="5"/>
  <c r="L20" i="5"/>
  <c r="M20" i="5"/>
  <c r="N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D21" i="5"/>
  <c r="E21" i="5"/>
  <c r="F21" i="5"/>
  <c r="G21" i="5"/>
  <c r="H21" i="5"/>
  <c r="I21" i="5"/>
  <c r="J21" i="5"/>
  <c r="K21" i="5"/>
  <c r="L21" i="5"/>
  <c r="M21" i="5"/>
  <c r="N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D22" i="5"/>
  <c r="E22" i="5"/>
  <c r="F22" i="5"/>
  <c r="G22" i="5"/>
  <c r="H22" i="5"/>
  <c r="I22" i="5"/>
  <c r="J22" i="5"/>
  <c r="K22" i="5"/>
  <c r="L22" i="5"/>
  <c r="M22" i="5"/>
  <c r="N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D23" i="5"/>
  <c r="E23" i="5"/>
  <c r="F23" i="5"/>
  <c r="G23" i="5"/>
  <c r="H23" i="5"/>
  <c r="I23" i="5"/>
  <c r="J23" i="5"/>
  <c r="K23" i="5"/>
  <c r="L23" i="5"/>
  <c r="M23" i="5"/>
  <c r="N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D24" i="5"/>
  <c r="E24" i="5"/>
  <c r="F24" i="5"/>
  <c r="G24" i="5"/>
  <c r="H24" i="5"/>
  <c r="I24" i="5"/>
  <c r="J24" i="5"/>
  <c r="K24" i="5"/>
  <c r="L24" i="5"/>
  <c r="M24" i="5"/>
  <c r="N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D25" i="5"/>
  <c r="E25" i="5"/>
  <c r="F25" i="5"/>
  <c r="G25" i="5"/>
  <c r="H25" i="5"/>
  <c r="I25" i="5"/>
  <c r="J25" i="5"/>
  <c r="K25" i="5"/>
  <c r="L25" i="5"/>
  <c r="M25" i="5"/>
  <c r="N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D26" i="5"/>
  <c r="E26" i="5"/>
  <c r="F26" i="5"/>
  <c r="G26" i="5"/>
  <c r="H26" i="5"/>
  <c r="I26" i="5"/>
  <c r="J26" i="5"/>
  <c r="K26" i="5"/>
  <c r="L26" i="5"/>
  <c r="M26" i="5"/>
  <c r="N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D27" i="5"/>
  <c r="E27" i="5"/>
  <c r="F27" i="5"/>
  <c r="G27" i="5"/>
  <c r="H27" i="5"/>
  <c r="I27" i="5"/>
  <c r="J27" i="5"/>
  <c r="K27" i="5"/>
  <c r="L27" i="5"/>
  <c r="M27" i="5"/>
  <c r="N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D28" i="5"/>
  <c r="E28" i="5"/>
  <c r="F28" i="5"/>
  <c r="G28" i="5"/>
  <c r="H28" i="5"/>
  <c r="I28" i="5"/>
  <c r="J28" i="5"/>
  <c r="K28" i="5"/>
  <c r="L28" i="5"/>
  <c r="M28" i="5"/>
  <c r="N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D29" i="5"/>
  <c r="E29" i="5"/>
  <c r="F29" i="5"/>
  <c r="G29" i="5"/>
  <c r="H29" i="5"/>
  <c r="I29" i="5"/>
  <c r="J29" i="5"/>
  <c r="K29" i="5"/>
  <c r="L29" i="5"/>
  <c r="M29" i="5"/>
  <c r="N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D30" i="5"/>
  <c r="E30" i="5"/>
  <c r="F30" i="5"/>
  <c r="G30" i="5"/>
  <c r="H30" i="5"/>
  <c r="I30" i="5"/>
  <c r="J30" i="5"/>
  <c r="K30" i="5"/>
  <c r="L30" i="5"/>
  <c r="M30" i="5"/>
  <c r="N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D31" i="5"/>
  <c r="E31" i="5"/>
  <c r="F31" i="5"/>
  <c r="G31" i="5"/>
  <c r="H31" i="5"/>
  <c r="I31" i="5"/>
  <c r="J31" i="5"/>
  <c r="K31" i="5"/>
  <c r="L31" i="5"/>
  <c r="M31" i="5"/>
  <c r="N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D32" i="5"/>
  <c r="E32" i="5"/>
  <c r="F32" i="5"/>
  <c r="G32" i="5"/>
  <c r="H32" i="5"/>
  <c r="I32" i="5"/>
  <c r="J32" i="5"/>
  <c r="K32" i="5"/>
  <c r="L32" i="5"/>
  <c r="M32" i="5"/>
  <c r="N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D33" i="5"/>
  <c r="E33" i="5"/>
  <c r="F33" i="5"/>
  <c r="G33" i="5"/>
  <c r="H33" i="5"/>
  <c r="I33" i="5"/>
  <c r="J33" i="5"/>
  <c r="K33" i="5"/>
  <c r="L33" i="5"/>
  <c r="M33" i="5"/>
  <c r="N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D34" i="5"/>
  <c r="E34" i="5"/>
  <c r="F34" i="5"/>
  <c r="G34" i="5"/>
  <c r="H34" i="5"/>
  <c r="I34" i="5"/>
  <c r="J34" i="5"/>
  <c r="K34" i="5"/>
  <c r="L34" i="5"/>
  <c r="M34" i="5"/>
  <c r="N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D35" i="5"/>
  <c r="E35" i="5"/>
  <c r="F35" i="5"/>
  <c r="G35" i="5"/>
  <c r="H35" i="5"/>
  <c r="I35" i="5"/>
  <c r="J35" i="5"/>
  <c r="K35" i="5"/>
  <c r="L35" i="5"/>
  <c r="M35" i="5"/>
  <c r="N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D36" i="5"/>
  <c r="E36" i="5"/>
  <c r="F36" i="5"/>
  <c r="G36" i="5"/>
  <c r="H36" i="5"/>
  <c r="I36" i="5"/>
  <c r="J36" i="5"/>
  <c r="K36" i="5"/>
  <c r="L36" i="5"/>
  <c r="M36" i="5"/>
  <c r="N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D37" i="5"/>
  <c r="E37" i="5"/>
  <c r="F37" i="5"/>
  <c r="G37" i="5"/>
  <c r="H37" i="5"/>
  <c r="I37" i="5"/>
  <c r="J37" i="5"/>
  <c r="K37" i="5"/>
  <c r="L37" i="5"/>
  <c r="M37" i="5"/>
  <c r="N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D38" i="5"/>
  <c r="E38" i="5"/>
  <c r="F38" i="5"/>
  <c r="G38" i="5"/>
  <c r="H38" i="5"/>
  <c r="I38" i="5"/>
  <c r="J38" i="5"/>
  <c r="K38" i="5"/>
  <c r="L38" i="5"/>
  <c r="M38" i="5"/>
  <c r="N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D39" i="5"/>
  <c r="E39" i="5"/>
  <c r="F39" i="5"/>
  <c r="G39" i="5"/>
  <c r="H39" i="5"/>
  <c r="I39" i="5"/>
  <c r="J39" i="5"/>
  <c r="K39" i="5"/>
  <c r="L39" i="5"/>
  <c r="M39" i="5"/>
  <c r="N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D40" i="5"/>
  <c r="E40" i="5"/>
  <c r="F40" i="5"/>
  <c r="G40" i="5"/>
  <c r="H40" i="5"/>
  <c r="I40" i="5"/>
  <c r="J40" i="5"/>
  <c r="K40" i="5"/>
  <c r="L40" i="5"/>
  <c r="M40" i="5"/>
  <c r="N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D41" i="5"/>
  <c r="E41" i="5"/>
  <c r="F41" i="5"/>
  <c r="G41" i="5"/>
  <c r="H41" i="5"/>
  <c r="I41" i="5"/>
  <c r="J41" i="5"/>
  <c r="K41" i="5"/>
  <c r="L41" i="5"/>
  <c r="M41" i="5"/>
  <c r="N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D42" i="5"/>
  <c r="E42" i="5"/>
  <c r="F42" i="5"/>
  <c r="G42" i="5"/>
  <c r="H42" i="5"/>
  <c r="I42" i="5"/>
  <c r="J42" i="5"/>
  <c r="K42" i="5"/>
  <c r="L42" i="5"/>
  <c r="M42" i="5"/>
  <c r="N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D43" i="5"/>
  <c r="E43" i="5"/>
  <c r="F43" i="5"/>
  <c r="G43" i="5"/>
  <c r="H43" i="5"/>
  <c r="I43" i="5"/>
  <c r="J43" i="5"/>
  <c r="K43" i="5"/>
  <c r="L43" i="5"/>
  <c r="M43" i="5"/>
  <c r="N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D44" i="5"/>
  <c r="E44" i="5"/>
  <c r="F44" i="5"/>
  <c r="G44" i="5"/>
  <c r="H44" i="5"/>
  <c r="I44" i="5"/>
  <c r="J44" i="5"/>
  <c r="K44" i="5"/>
  <c r="L44" i="5"/>
  <c r="M44" i="5"/>
  <c r="N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D45" i="5"/>
  <c r="E45" i="5"/>
  <c r="F45" i="5"/>
  <c r="G45" i="5"/>
  <c r="H45" i="5"/>
  <c r="I45" i="5"/>
  <c r="J45" i="5"/>
  <c r="K45" i="5"/>
  <c r="L45" i="5"/>
  <c r="M45" i="5"/>
  <c r="N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D46" i="5"/>
  <c r="E46" i="5"/>
  <c r="F46" i="5"/>
  <c r="G46" i="5"/>
  <c r="H46" i="5"/>
  <c r="I46" i="5"/>
  <c r="J46" i="5"/>
  <c r="K46" i="5"/>
  <c r="L46" i="5"/>
  <c r="M46" i="5"/>
  <c r="N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D47" i="5"/>
  <c r="E47" i="5"/>
  <c r="F47" i="5"/>
  <c r="G47" i="5"/>
  <c r="H47" i="5"/>
  <c r="I47" i="5"/>
  <c r="J47" i="5"/>
  <c r="K47" i="5"/>
  <c r="L47" i="5"/>
  <c r="M47" i="5"/>
  <c r="N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D48" i="5"/>
  <c r="E48" i="5"/>
  <c r="F48" i="5"/>
  <c r="G48" i="5"/>
  <c r="H48" i="5"/>
  <c r="I48" i="5"/>
  <c r="J48" i="5"/>
  <c r="K48" i="5"/>
  <c r="L48" i="5"/>
  <c r="M48" i="5"/>
  <c r="N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D49" i="5"/>
  <c r="E49" i="5"/>
  <c r="F49" i="5"/>
  <c r="G49" i="5"/>
  <c r="H49" i="5"/>
  <c r="I49" i="5"/>
  <c r="J49" i="5"/>
  <c r="K49" i="5"/>
  <c r="L49" i="5"/>
  <c r="M49" i="5"/>
  <c r="N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D50" i="5"/>
  <c r="E50" i="5"/>
  <c r="F50" i="5"/>
  <c r="G50" i="5"/>
  <c r="H50" i="5"/>
  <c r="I50" i="5"/>
  <c r="J50" i="5"/>
  <c r="K50" i="5"/>
  <c r="L50" i="5"/>
  <c r="M50" i="5"/>
  <c r="N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D51" i="5"/>
  <c r="E51" i="5"/>
  <c r="F51" i="5"/>
  <c r="G51" i="5"/>
  <c r="H51" i="5"/>
  <c r="I51" i="5"/>
  <c r="J51" i="5"/>
  <c r="K51" i="5"/>
  <c r="L51" i="5"/>
  <c r="M51" i="5"/>
  <c r="N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D52" i="5"/>
  <c r="E52" i="5"/>
  <c r="F52" i="5"/>
  <c r="G52" i="5"/>
  <c r="H52" i="5"/>
  <c r="I52" i="5"/>
  <c r="J52" i="5"/>
  <c r="K52" i="5"/>
  <c r="L52" i="5"/>
  <c r="M52" i="5"/>
  <c r="N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D53" i="5"/>
  <c r="E53" i="5"/>
  <c r="F53" i="5"/>
  <c r="G53" i="5"/>
  <c r="H53" i="5"/>
  <c r="I53" i="5"/>
  <c r="J53" i="5"/>
  <c r="K53" i="5"/>
  <c r="L53" i="5"/>
  <c r="M53" i="5"/>
  <c r="N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D54" i="5"/>
  <c r="E54" i="5"/>
  <c r="F54" i="5"/>
  <c r="G54" i="5"/>
  <c r="H54" i="5"/>
  <c r="I54" i="5"/>
  <c r="J54" i="5"/>
  <c r="K54" i="5"/>
  <c r="L54" i="5"/>
  <c r="M54" i="5"/>
  <c r="N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D55" i="5"/>
  <c r="E55" i="5"/>
  <c r="F55" i="5"/>
  <c r="G55" i="5"/>
  <c r="H55" i="5"/>
  <c r="I55" i="5"/>
  <c r="J55" i="5"/>
  <c r="K55" i="5"/>
  <c r="L55" i="5"/>
  <c r="M55" i="5"/>
  <c r="N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D56" i="5"/>
  <c r="E56" i="5"/>
  <c r="F56" i="5"/>
  <c r="G56" i="5"/>
  <c r="H56" i="5"/>
  <c r="I56" i="5"/>
  <c r="J56" i="5"/>
  <c r="K56" i="5"/>
  <c r="L56" i="5"/>
  <c r="M56" i="5"/>
  <c r="N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D57" i="5"/>
  <c r="E57" i="5"/>
  <c r="F57" i="5"/>
  <c r="G57" i="5"/>
  <c r="H57" i="5"/>
  <c r="I57" i="5"/>
  <c r="J57" i="5"/>
  <c r="K57" i="5"/>
  <c r="L57" i="5"/>
  <c r="M57" i="5"/>
  <c r="N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D58" i="5"/>
  <c r="E58" i="5"/>
  <c r="F58" i="5"/>
  <c r="G58" i="5"/>
  <c r="H58" i="5"/>
  <c r="I58" i="5"/>
  <c r="J58" i="5"/>
  <c r="K58" i="5"/>
  <c r="L58" i="5"/>
  <c r="M58" i="5"/>
  <c r="N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D59" i="5"/>
  <c r="E59" i="5"/>
  <c r="F59" i="5"/>
  <c r="G59" i="5"/>
  <c r="H59" i="5"/>
  <c r="I59" i="5"/>
  <c r="J59" i="5"/>
  <c r="K59" i="5"/>
  <c r="L59" i="5"/>
  <c r="M59" i="5"/>
  <c r="N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D60" i="5"/>
  <c r="E60" i="5"/>
  <c r="F60" i="5"/>
  <c r="G60" i="5"/>
  <c r="H60" i="5"/>
  <c r="I60" i="5"/>
  <c r="J60" i="5"/>
  <c r="K60" i="5"/>
  <c r="L60" i="5"/>
  <c r="M60" i="5"/>
  <c r="N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D61" i="5"/>
  <c r="E61" i="5"/>
  <c r="F61" i="5"/>
  <c r="G61" i="5"/>
  <c r="H61" i="5"/>
  <c r="I61" i="5"/>
  <c r="J61" i="5"/>
  <c r="K61" i="5"/>
  <c r="L61" i="5"/>
  <c r="M61" i="5"/>
  <c r="N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D62" i="5"/>
  <c r="E62" i="5"/>
  <c r="F62" i="5"/>
  <c r="G62" i="5"/>
  <c r="H62" i="5"/>
  <c r="I62" i="5"/>
  <c r="J62" i="5"/>
  <c r="K62" i="5"/>
  <c r="L62" i="5"/>
  <c r="M62" i="5"/>
  <c r="N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D63" i="5"/>
  <c r="E63" i="5"/>
  <c r="F63" i="5"/>
  <c r="G63" i="5"/>
  <c r="H63" i="5"/>
  <c r="I63" i="5"/>
  <c r="J63" i="5"/>
  <c r="K63" i="5"/>
  <c r="L63" i="5"/>
  <c r="M63" i="5"/>
  <c r="N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AS63" i="5"/>
  <c r="AT63" i="5"/>
  <c r="AU63" i="5"/>
  <c r="AV63" i="5"/>
  <c r="AW63" i="5"/>
  <c r="AX63" i="5"/>
  <c r="AY63" i="5"/>
  <c r="AZ63" i="5"/>
  <c r="BA63" i="5"/>
  <c r="D64" i="5"/>
  <c r="E64" i="5"/>
  <c r="F64" i="5"/>
  <c r="G64" i="5"/>
  <c r="H64" i="5"/>
  <c r="I64" i="5"/>
  <c r="J64" i="5"/>
  <c r="K64" i="5"/>
  <c r="L64" i="5"/>
  <c r="M64" i="5"/>
  <c r="N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AS64" i="5"/>
  <c r="AT64" i="5"/>
  <c r="AU64" i="5"/>
  <c r="AV64" i="5"/>
  <c r="AW64" i="5"/>
  <c r="AX64" i="5"/>
  <c r="AY64" i="5"/>
  <c r="AZ64" i="5"/>
  <c r="BA64" i="5"/>
  <c r="D65" i="5"/>
  <c r="E65" i="5"/>
  <c r="F65" i="5"/>
  <c r="G65" i="5"/>
  <c r="H65" i="5"/>
  <c r="I65" i="5"/>
  <c r="J65" i="5"/>
  <c r="K65" i="5"/>
  <c r="L65" i="5"/>
  <c r="M65" i="5"/>
  <c r="N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AS65" i="5"/>
  <c r="AT65" i="5"/>
  <c r="AU65" i="5"/>
  <c r="AV65" i="5"/>
  <c r="AW65" i="5"/>
  <c r="AX65" i="5"/>
  <c r="AY65" i="5"/>
  <c r="AZ65" i="5"/>
  <c r="BA65" i="5"/>
  <c r="D66" i="5"/>
  <c r="E66" i="5"/>
  <c r="F66" i="5"/>
  <c r="G66" i="5"/>
  <c r="H66" i="5"/>
  <c r="I66" i="5"/>
  <c r="J66" i="5"/>
  <c r="K66" i="5"/>
  <c r="L66" i="5"/>
  <c r="M66" i="5"/>
  <c r="N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AS66" i="5"/>
  <c r="AT66" i="5"/>
  <c r="AU66" i="5"/>
  <c r="AV66" i="5"/>
  <c r="AW66" i="5"/>
  <c r="AX66" i="5"/>
  <c r="AY66" i="5"/>
  <c r="AZ66" i="5"/>
  <c r="BA66" i="5"/>
  <c r="D67" i="5"/>
  <c r="E67" i="5"/>
  <c r="F67" i="5"/>
  <c r="G67" i="5"/>
  <c r="H67" i="5"/>
  <c r="I67" i="5"/>
  <c r="J67" i="5"/>
  <c r="K67" i="5"/>
  <c r="L67" i="5"/>
  <c r="M67" i="5"/>
  <c r="N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AS67" i="5"/>
  <c r="AT67" i="5"/>
  <c r="AU67" i="5"/>
  <c r="AV67" i="5"/>
  <c r="AW67" i="5"/>
  <c r="AX67" i="5"/>
  <c r="AY67" i="5"/>
  <c r="AZ67" i="5"/>
  <c r="BA67" i="5"/>
  <c r="D68" i="5"/>
  <c r="E68" i="5"/>
  <c r="F68" i="5"/>
  <c r="G68" i="5"/>
  <c r="H68" i="5"/>
  <c r="I68" i="5"/>
  <c r="J68" i="5"/>
  <c r="K68" i="5"/>
  <c r="L68" i="5"/>
  <c r="M68" i="5"/>
  <c r="N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AR68" i="5"/>
  <c r="AS68" i="5"/>
  <c r="AT68" i="5"/>
  <c r="AU68" i="5"/>
  <c r="AV68" i="5"/>
  <c r="AW68" i="5"/>
  <c r="AX68" i="5"/>
  <c r="AY68" i="5"/>
  <c r="AZ68" i="5"/>
  <c r="BA68" i="5"/>
  <c r="D69" i="5"/>
  <c r="E69" i="5"/>
  <c r="F69" i="5"/>
  <c r="G69" i="5"/>
  <c r="H69" i="5"/>
  <c r="I69" i="5"/>
  <c r="J69" i="5"/>
  <c r="K69" i="5"/>
  <c r="L69" i="5"/>
  <c r="M69" i="5"/>
  <c r="N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AR69" i="5"/>
  <c r="AS69" i="5"/>
  <c r="AT69" i="5"/>
  <c r="AU69" i="5"/>
  <c r="AV69" i="5"/>
  <c r="AW69" i="5"/>
  <c r="AX69" i="5"/>
  <c r="AY69" i="5"/>
  <c r="AZ69" i="5"/>
  <c r="BA69" i="5"/>
  <c r="D70" i="5"/>
  <c r="E70" i="5"/>
  <c r="F70" i="5"/>
  <c r="G70" i="5"/>
  <c r="H70" i="5"/>
  <c r="I70" i="5"/>
  <c r="J70" i="5"/>
  <c r="K70" i="5"/>
  <c r="L70" i="5"/>
  <c r="M70" i="5"/>
  <c r="N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Q70" i="5"/>
  <c r="AR70" i="5"/>
  <c r="AS70" i="5"/>
  <c r="AT70" i="5"/>
  <c r="AU70" i="5"/>
  <c r="AV70" i="5"/>
  <c r="AW70" i="5"/>
  <c r="AX70" i="5"/>
  <c r="AY70" i="5"/>
  <c r="AZ70" i="5"/>
  <c r="BA70" i="5"/>
  <c r="D71" i="5"/>
  <c r="E71" i="5"/>
  <c r="F71" i="5"/>
  <c r="G71" i="5"/>
  <c r="H71" i="5"/>
  <c r="I71" i="5"/>
  <c r="J71" i="5"/>
  <c r="K71" i="5"/>
  <c r="L71" i="5"/>
  <c r="M71" i="5"/>
  <c r="N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AZ71" i="5"/>
  <c r="BA71" i="5"/>
  <c r="D72" i="5"/>
  <c r="E72" i="5"/>
  <c r="F72" i="5"/>
  <c r="G72" i="5"/>
  <c r="H72" i="5"/>
  <c r="I72" i="5"/>
  <c r="J72" i="5"/>
  <c r="K72" i="5"/>
  <c r="L72" i="5"/>
  <c r="M72" i="5"/>
  <c r="N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AR72" i="5"/>
  <c r="AS72" i="5"/>
  <c r="AT72" i="5"/>
  <c r="AU72" i="5"/>
  <c r="AV72" i="5"/>
  <c r="AW72" i="5"/>
  <c r="AX72" i="5"/>
  <c r="AY72" i="5"/>
  <c r="AZ72" i="5"/>
  <c r="BA72" i="5"/>
  <c r="D73" i="5"/>
  <c r="E73" i="5"/>
  <c r="F73" i="5"/>
  <c r="G73" i="5"/>
  <c r="H73" i="5"/>
  <c r="I73" i="5"/>
  <c r="J73" i="5"/>
  <c r="K73" i="5"/>
  <c r="L73" i="5"/>
  <c r="M73" i="5"/>
  <c r="N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AR73" i="5"/>
  <c r="AS73" i="5"/>
  <c r="AT73" i="5"/>
  <c r="AU73" i="5"/>
  <c r="AV73" i="5"/>
  <c r="AW73" i="5"/>
  <c r="AX73" i="5"/>
  <c r="AY73" i="5"/>
  <c r="AZ73" i="5"/>
  <c r="BA73" i="5"/>
  <c r="D74" i="5"/>
  <c r="E74" i="5"/>
  <c r="F74" i="5"/>
  <c r="G74" i="5"/>
  <c r="H74" i="5"/>
  <c r="I74" i="5"/>
  <c r="J74" i="5"/>
  <c r="K74" i="5"/>
  <c r="L74" i="5"/>
  <c r="M74" i="5"/>
  <c r="N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AS74" i="5"/>
  <c r="AT74" i="5"/>
  <c r="AU74" i="5"/>
  <c r="AV74" i="5"/>
  <c r="AW74" i="5"/>
  <c r="AX74" i="5"/>
  <c r="AY74" i="5"/>
  <c r="AZ74" i="5"/>
  <c r="BA74" i="5"/>
  <c r="D75" i="5"/>
  <c r="E75" i="5"/>
  <c r="F75" i="5"/>
  <c r="G75" i="5"/>
  <c r="H75" i="5"/>
  <c r="I75" i="5"/>
  <c r="J75" i="5"/>
  <c r="K75" i="5"/>
  <c r="L75" i="5"/>
  <c r="M75" i="5"/>
  <c r="N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AR75" i="5"/>
  <c r="AS75" i="5"/>
  <c r="AT75" i="5"/>
  <c r="AU75" i="5"/>
  <c r="AV75" i="5"/>
  <c r="AW75" i="5"/>
  <c r="AX75" i="5"/>
  <c r="AY75" i="5"/>
  <c r="AZ75" i="5"/>
  <c r="BA75" i="5"/>
  <c r="D76" i="5"/>
  <c r="E76" i="5"/>
  <c r="F76" i="5"/>
  <c r="G76" i="5"/>
  <c r="H76" i="5"/>
  <c r="I76" i="5"/>
  <c r="J76" i="5"/>
  <c r="K76" i="5"/>
  <c r="L76" i="5"/>
  <c r="M76" i="5"/>
  <c r="N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W76" i="5"/>
  <c r="AX76" i="5"/>
  <c r="AY76" i="5"/>
  <c r="AZ76" i="5"/>
  <c r="BA76" i="5"/>
  <c r="D77" i="5"/>
  <c r="E77" i="5"/>
  <c r="F77" i="5"/>
  <c r="G77" i="5"/>
  <c r="H77" i="5"/>
  <c r="I77" i="5"/>
  <c r="J77" i="5"/>
  <c r="K77" i="5"/>
  <c r="L77" i="5"/>
  <c r="M77" i="5"/>
  <c r="N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AR77" i="5"/>
  <c r="AS77" i="5"/>
  <c r="AT77" i="5"/>
  <c r="AU77" i="5"/>
  <c r="AV77" i="5"/>
  <c r="AW77" i="5"/>
  <c r="AX77" i="5"/>
  <c r="AY77" i="5"/>
  <c r="AZ77" i="5"/>
  <c r="BA77" i="5"/>
  <c r="D78" i="5"/>
  <c r="E78" i="5"/>
  <c r="F78" i="5"/>
  <c r="G78" i="5"/>
  <c r="H78" i="5"/>
  <c r="I78" i="5"/>
  <c r="J78" i="5"/>
  <c r="K78" i="5"/>
  <c r="L78" i="5"/>
  <c r="M78" i="5"/>
  <c r="N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Q78" i="5"/>
  <c r="AR78" i="5"/>
  <c r="AS78" i="5"/>
  <c r="AT78" i="5"/>
  <c r="AU78" i="5"/>
  <c r="AV78" i="5"/>
  <c r="AW78" i="5"/>
  <c r="AX78" i="5"/>
  <c r="AY78" i="5"/>
  <c r="AZ78" i="5"/>
  <c r="BA78" i="5"/>
  <c r="D79" i="5"/>
  <c r="E79" i="5"/>
  <c r="F79" i="5"/>
  <c r="G79" i="5"/>
  <c r="H79" i="5"/>
  <c r="I79" i="5"/>
  <c r="J79" i="5"/>
  <c r="K79" i="5"/>
  <c r="L79" i="5"/>
  <c r="M79" i="5"/>
  <c r="N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AS79" i="5"/>
  <c r="AT79" i="5"/>
  <c r="AU79" i="5"/>
  <c r="AV79" i="5"/>
  <c r="AW79" i="5"/>
  <c r="AX79" i="5"/>
  <c r="AY79" i="5"/>
  <c r="AZ79" i="5"/>
  <c r="BA79" i="5"/>
  <c r="D80" i="5"/>
  <c r="E80" i="5"/>
  <c r="F80" i="5"/>
  <c r="G80" i="5"/>
  <c r="H80" i="5"/>
  <c r="I80" i="5"/>
  <c r="J80" i="5"/>
  <c r="K80" i="5"/>
  <c r="L80" i="5"/>
  <c r="M80" i="5"/>
  <c r="N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AS80" i="5"/>
  <c r="AT80" i="5"/>
  <c r="AU80" i="5"/>
  <c r="AV80" i="5"/>
  <c r="AW80" i="5"/>
  <c r="AX80" i="5"/>
  <c r="AY80" i="5"/>
  <c r="AZ80" i="5"/>
  <c r="BA80" i="5"/>
  <c r="D81" i="5"/>
  <c r="E81" i="5"/>
  <c r="F81" i="5"/>
  <c r="G81" i="5"/>
  <c r="H81" i="5"/>
  <c r="I81" i="5"/>
  <c r="J81" i="5"/>
  <c r="K81" i="5"/>
  <c r="L81" i="5"/>
  <c r="M81" i="5"/>
  <c r="N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Q81" i="5"/>
  <c r="AR81" i="5"/>
  <c r="AS81" i="5"/>
  <c r="AT81" i="5"/>
  <c r="AU81" i="5"/>
  <c r="AV81" i="5"/>
  <c r="AW81" i="5"/>
  <c r="AX81" i="5"/>
  <c r="AY81" i="5"/>
  <c r="AZ81" i="5"/>
  <c r="BA81" i="5"/>
  <c r="D82" i="5"/>
  <c r="E82" i="5"/>
  <c r="F82" i="5"/>
  <c r="G82" i="5"/>
  <c r="H82" i="5"/>
  <c r="I82" i="5"/>
  <c r="J82" i="5"/>
  <c r="K82" i="5"/>
  <c r="L82" i="5"/>
  <c r="M82" i="5"/>
  <c r="N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AS82" i="5"/>
  <c r="AT82" i="5"/>
  <c r="AU82" i="5"/>
  <c r="AV82" i="5"/>
  <c r="AW82" i="5"/>
  <c r="AX82" i="5"/>
  <c r="AY82" i="5"/>
  <c r="AZ82" i="5"/>
  <c r="BA82" i="5"/>
  <c r="D83" i="5"/>
  <c r="E83" i="5"/>
  <c r="F83" i="5"/>
  <c r="G83" i="5"/>
  <c r="H83" i="5"/>
  <c r="I83" i="5"/>
  <c r="J83" i="5"/>
  <c r="K83" i="5"/>
  <c r="L83" i="5"/>
  <c r="M83" i="5"/>
  <c r="N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Q83" i="5"/>
  <c r="AR83" i="5"/>
  <c r="AS83" i="5"/>
  <c r="AT83" i="5"/>
  <c r="AU83" i="5"/>
  <c r="AV83" i="5"/>
  <c r="AW83" i="5"/>
  <c r="AX83" i="5"/>
  <c r="AY83" i="5"/>
  <c r="AZ83" i="5"/>
  <c r="BA83" i="5"/>
  <c r="H34" i="3" l="1"/>
  <c r="H1" i="3" l="1"/>
  <c r="H4" i="4"/>
  <c r="J4" i="4" s="1"/>
  <c r="H5" i="4"/>
  <c r="J5" i="4" s="1"/>
  <c r="H6" i="4"/>
  <c r="J6" i="4" s="1"/>
  <c r="H7" i="4"/>
  <c r="J7" i="4" s="1"/>
  <c r="H8" i="4"/>
  <c r="J8" i="4" s="1"/>
  <c r="H9" i="4"/>
  <c r="J9" i="4" s="1"/>
  <c r="H10" i="4"/>
  <c r="J10" i="4" s="1"/>
  <c r="H11" i="4"/>
  <c r="J11" i="4" s="1"/>
  <c r="H12" i="4"/>
  <c r="J12" i="4" s="1"/>
  <c r="H13" i="4"/>
  <c r="J13" i="4" s="1"/>
  <c r="H14" i="4"/>
  <c r="J14" i="4" s="1"/>
  <c r="H15" i="4"/>
  <c r="J15" i="4" s="1"/>
  <c r="H16" i="4"/>
  <c r="J16" i="4" s="1"/>
  <c r="H17" i="4"/>
  <c r="J17" i="4" s="1"/>
  <c r="H18" i="4"/>
  <c r="J18" i="4" s="1"/>
  <c r="H19" i="4"/>
  <c r="J19" i="4" s="1"/>
  <c r="H20" i="4"/>
  <c r="J20" i="4" s="1"/>
  <c r="H21" i="4"/>
  <c r="J21" i="4" s="1"/>
  <c r="H22" i="4"/>
  <c r="J22" i="4" s="1"/>
  <c r="H23" i="4"/>
  <c r="J23" i="4" s="1"/>
  <c r="H24" i="4"/>
  <c r="J24" i="4" s="1"/>
  <c r="H25" i="4"/>
  <c r="J25" i="4" s="1"/>
  <c r="H26" i="4"/>
  <c r="J26" i="4" s="1"/>
  <c r="H27" i="4"/>
  <c r="J27" i="4" s="1"/>
  <c r="H28" i="4"/>
  <c r="J28" i="4" s="1"/>
  <c r="H29" i="4"/>
  <c r="J29" i="4" s="1"/>
  <c r="H30" i="4"/>
  <c r="J30" i="4" s="1"/>
  <c r="H31" i="4"/>
  <c r="J31" i="4" s="1"/>
  <c r="H32" i="4"/>
  <c r="J32" i="4" s="1"/>
  <c r="H33" i="4"/>
  <c r="J33" i="4" s="1"/>
  <c r="H34" i="4"/>
  <c r="J34" i="4" s="1"/>
  <c r="H35" i="4"/>
  <c r="J35" i="4" s="1"/>
  <c r="H36" i="4"/>
  <c r="J36" i="4" s="1"/>
  <c r="H37" i="4"/>
  <c r="J37" i="4" s="1"/>
  <c r="H38" i="4"/>
  <c r="J38" i="4" s="1"/>
  <c r="H39" i="4"/>
  <c r="J39" i="4" s="1"/>
  <c r="H40" i="4"/>
  <c r="J40" i="4" s="1"/>
  <c r="H41" i="4"/>
  <c r="J41" i="4" s="1"/>
  <c r="H42" i="4"/>
  <c r="J42" i="4" s="1"/>
  <c r="H43" i="4"/>
  <c r="J43" i="4" s="1"/>
  <c r="H44" i="4"/>
  <c r="J44" i="4" s="1"/>
  <c r="H45" i="4"/>
  <c r="J45" i="4" s="1"/>
  <c r="H46" i="4"/>
  <c r="J46" i="4" s="1"/>
  <c r="H47" i="4"/>
  <c r="J47" i="4" s="1"/>
  <c r="H48" i="4"/>
  <c r="J48" i="4" s="1"/>
  <c r="H49" i="4"/>
  <c r="J49" i="4" s="1"/>
  <c r="H50" i="4"/>
  <c r="J50" i="4" s="1"/>
  <c r="H51" i="4"/>
  <c r="J51" i="4" s="1"/>
  <c r="H52" i="4"/>
  <c r="J52" i="4" s="1"/>
  <c r="H53" i="4"/>
  <c r="J53" i="4" s="1"/>
  <c r="H54" i="4"/>
  <c r="J54" i="4" s="1"/>
  <c r="H55" i="4"/>
  <c r="J55" i="4" s="1"/>
  <c r="H56" i="4"/>
  <c r="J56" i="4" s="1"/>
  <c r="H57" i="4"/>
  <c r="J57" i="4" s="1"/>
  <c r="H58" i="4"/>
  <c r="J58" i="4" s="1"/>
  <c r="H59" i="4"/>
  <c r="J59" i="4" s="1"/>
  <c r="H60" i="4"/>
  <c r="J60" i="4" s="1"/>
  <c r="H61" i="4"/>
  <c r="J61" i="4" s="1"/>
  <c r="H62" i="4"/>
  <c r="J62" i="4" s="1"/>
  <c r="H63" i="4"/>
  <c r="J63" i="4" s="1"/>
  <c r="H64" i="4"/>
  <c r="J64" i="4" s="1"/>
  <c r="H65" i="4"/>
  <c r="J65" i="4" s="1"/>
  <c r="H66" i="4"/>
  <c r="J66" i="4" s="1"/>
  <c r="H67" i="4"/>
  <c r="J67" i="4" s="1"/>
  <c r="H68" i="4"/>
  <c r="J68" i="4" s="1"/>
  <c r="H69" i="4"/>
  <c r="J69" i="4" s="1"/>
  <c r="H70" i="4"/>
  <c r="J70" i="4" s="1"/>
  <c r="H71" i="4"/>
  <c r="J71" i="4" s="1"/>
  <c r="H72" i="4"/>
  <c r="J72" i="4" s="1"/>
  <c r="H73" i="4"/>
  <c r="J73" i="4" s="1"/>
  <c r="H74" i="4"/>
  <c r="J74" i="4" s="1"/>
  <c r="H75" i="4"/>
  <c r="J75" i="4" s="1"/>
  <c r="H76" i="4"/>
  <c r="J76" i="4" s="1"/>
  <c r="H77" i="4"/>
  <c r="J77" i="4" s="1"/>
  <c r="H78" i="4"/>
  <c r="J78" i="4" s="1"/>
  <c r="H79" i="4"/>
  <c r="J79" i="4" s="1"/>
  <c r="H80" i="4"/>
  <c r="J80" i="4" s="1"/>
  <c r="H81" i="4"/>
  <c r="J81" i="4" s="1"/>
  <c r="H82" i="4"/>
  <c r="J82" i="4" s="1"/>
  <c r="H83" i="4"/>
  <c r="J83" i="4" s="1"/>
  <c r="H84" i="4"/>
  <c r="J84" i="4" s="1"/>
  <c r="H85" i="4"/>
  <c r="J85" i="4" s="1"/>
  <c r="H86" i="4"/>
  <c r="J86" i="4" s="1"/>
  <c r="H87" i="4"/>
  <c r="J87" i="4" s="1"/>
  <c r="H88" i="4"/>
  <c r="J88" i="4" s="1"/>
  <c r="H89" i="4"/>
  <c r="J89" i="4" s="1"/>
  <c r="H90" i="4"/>
  <c r="J90" i="4" s="1"/>
  <c r="H91" i="4"/>
  <c r="H92" i="4"/>
  <c r="H3" i="4"/>
  <c r="J3" i="4" s="1"/>
  <c r="AT6" i="2"/>
  <c r="J6" i="2" l="1"/>
  <c r="AG4" i="2"/>
  <c r="AC5" i="2"/>
  <c r="AC7" i="2" s="1"/>
  <c r="D1" i="2"/>
  <c r="L7" i="2"/>
  <c r="L8" i="2"/>
  <c r="V8" i="2" s="1"/>
  <c r="L9" i="2"/>
  <c r="V9" i="2" s="1"/>
  <c r="L10" i="2"/>
  <c r="V10" i="2" s="1"/>
  <c r="L11" i="2"/>
  <c r="V11" i="2" s="1"/>
  <c r="L12" i="2"/>
  <c r="V12" i="2" s="1"/>
  <c r="L13" i="2"/>
  <c r="V13" i="2" s="1"/>
  <c r="L14" i="2"/>
  <c r="V14" i="2" s="1"/>
  <c r="L15" i="2"/>
  <c r="V15" i="2" s="1"/>
  <c r="L16" i="2"/>
  <c r="V16" i="2" s="1"/>
  <c r="L17" i="2"/>
  <c r="V17" i="2" s="1"/>
  <c r="L18" i="2"/>
  <c r="V18" i="2" s="1"/>
  <c r="L19" i="2"/>
  <c r="V19" i="2" s="1"/>
  <c r="L20" i="2"/>
  <c r="V20" i="2" s="1"/>
  <c r="L21" i="2"/>
  <c r="V21" i="2" s="1"/>
  <c r="L22" i="2"/>
  <c r="V22" i="2" s="1"/>
  <c r="L23" i="2"/>
  <c r="L24" i="2"/>
  <c r="V24" i="2" s="1"/>
  <c r="L25" i="2"/>
  <c r="V25" i="2" s="1"/>
  <c r="L26" i="2"/>
  <c r="V26" i="2" s="1"/>
  <c r="L27" i="2"/>
  <c r="V27" i="2" s="1"/>
  <c r="L28" i="2"/>
  <c r="V28" i="2" s="1"/>
  <c r="L29" i="2"/>
  <c r="V29" i="2" s="1"/>
  <c r="L30" i="2"/>
  <c r="V30" i="2" s="1"/>
  <c r="L31" i="2"/>
  <c r="V31" i="2" s="1"/>
  <c r="L32" i="2"/>
  <c r="V32" i="2" s="1"/>
  <c r="L33" i="2"/>
  <c r="V33" i="2" s="1"/>
  <c r="L34" i="2"/>
  <c r="V34" i="2" s="1"/>
  <c r="L35" i="2"/>
  <c r="V35" i="2" s="1"/>
  <c r="L36" i="2"/>
  <c r="V36" i="2" s="1"/>
  <c r="L37" i="2"/>
  <c r="V37" i="2" s="1"/>
  <c r="L38" i="2"/>
  <c r="V38" i="2" s="1"/>
  <c r="L39" i="2"/>
  <c r="V39" i="2" s="1"/>
  <c r="L40" i="2"/>
  <c r="V40" i="2" s="1"/>
  <c r="L41" i="2"/>
  <c r="V41" i="2" s="1"/>
  <c r="L42" i="2"/>
  <c r="V42" i="2" s="1"/>
  <c r="L43" i="2"/>
  <c r="V43" i="2" s="1"/>
  <c r="L44" i="2"/>
  <c r="V44" i="2" s="1"/>
  <c r="L45" i="2"/>
  <c r="V45" i="2" s="1"/>
  <c r="L46" i="2"/>
  <c r="V46" i="2" s="1"/>
  <c r="L47" i="2"/>
  <c r="V47" i="2" s="1"/>
  <c r="L48" i="2"/>
  <c r="V48" i="2" s="1"/>
  <c r="L49" i="2"/>
  <c r="V49" i="2" s="1"/>
  <c r="L50" i="2"/>
  <c r="V50" i="2" s="1"/>
  <c r="L51" i="2"/>
  <c r="V51" i="2" s="1"/>
  <c r="L52" i="2"/>
  <c r="V52" i="2" s="1"/>
  <c r="L53" i="2"/>
  <c r="V53" i="2" s="1"/>
  <c r="L54" i="2"/>
  <c r="V54" i="2" s="1"/>
  <c r="L55" i="2"/>
  <c r="V55" i="2" s="1"/>
  <c r="L56" i="2"/>
  <c r="V56" i="2" s="1"/>
  <c r="L57" i="2"/>
  <c r="V57" i="2" s="1"/>
  <c r="L58" i="2"/>
  <c r="V58" i="2" s="1"/>
  <c r="L59" i="2"/>
  <c r="V59" i="2" s="1"/>
  <c r="V60" i="2"/>
  <c r="V61" i="2"/>
  <c r="L62" i="2"/>
  <c r="L63" i="2"/>
  <c r="V63" i="2" s="1"/>
  <c r="L64" i="2"/>
  <c r="V64" i="2" s="1"/>
  <c r="L65" i="2"/>
  <c r="V65" i="2" s="1"/>
  <c r="L66" i="2"/>
  <c r="V66" i="2" s="1"/>
  <c r="L67" i="2"/>
  <c r="V67" i="2" s="1"/>
  <c r="L68" i="2"/>
  <c r="V68" i="2" s="1"/>
  <c r="L69" i="2"/>
  <c r="V69" i="2" s="1"/>
  <c r="L70" i="2"/>
  <c r="V70" i="2" s="1"/>
  <c r="L71" i="2"/>
  <c r="L72" i="2"/>
  <c r="V72" i="2" s="1"/>
  <c r="L73" i="2"/>
  <c r="V73" i="2" s="1"/>
  <c r="L74" i="2"/>
  <c r="V74" i="2" s="1"/>
  <c r="L75" i="2"/>
  <c r="V75" i="2" s="1"/>
  <c r="L76" i="2"/>
  <c r="V76" i="2" s="1"/>
  <c r="L77" i="2"/>
  <c r="V77" i="2" s="1"/>
  <c r="L78" i="2"/>
  <c r="V78" i="2" s="1"/>
  <c r="L79" i="2"/>
  <c r="V79" i="2" s="1"/>
  <c r="L80" i="2"/>
  <c r="V80" i="2" s="1"/>
  <c r="L81" i="2"/>
  <c r="V81" i="2" s="1"/>
  <c r="L82" i="2"/>
  <c r="V82" i="2" s="1"/>
  <c r="L83" i="2"/>
  <c r="V83" i="2" s="1"/>
  <c r="L84" i="2"/>
  <c r="V84" i="2" s="1"/>
  <c r="L85" i="2"/>
  <c r="V85" i="2" s="1"/>
  <c r="L86" i="2"/>
  <c r="V86" i="2" s="1"/>
  <c r="L87" i="2"/>
  <c r="V87" i="2" s="1"/>
  <c r="L6" i="2"/>
  <c r="K6" i="2"/>
  <c r="AR6" i="2"/>
  <c r="AS6" i="2"/>
  <c r="AU6" i="2"/>
  <c r="AV6" i="2"/>
  <c r="AW6" i="2"/>
  <c r="AX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AR7" i="2"/>
  <c r="AS7" i="2"/>
  <c r="AT7" i="2"/>
  <c r="AU7" i="2"/>
  <c r="AV7" i="2"/>
  <c r="AW7" i="2"/>
  <c r="AX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AR8" i="2"/>
  <c r="AS8" i="2"/>
  <c r="AT8" i="2"/>
  <c r="AU8" i="2"/>
  <c r="AV8" i="2"/>
  <c r="AW8" i="2"/>
  <c r="AX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AR9" i="2"/>
  <c r="AS9" i="2"/>
  <c r="AT9" i="2"/>
  <c r="AU9" i="2"/>
  <c r="AV9" i="2"/>
  <c r="AW9" i="2"/>
  <c r="AX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AR10" i="2"/>
  <c r="AS10" i="2"/>
  <c r="AT10" i="2"/>
  <c r="AU10" i="2"/>
  <c r="AV10" i="2"/>
  <c r="AW10" i="2"/>
  <c r="AX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AR11" i="2"/>
  <c r="AS11" i="2"/>
  <c r="AT11" i="2"/>
  <c r="AU11" i="2"/>
  <c r="AV11" i="2"/>
  <c r="AW11" i="2"/>
  <c r="AX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AR12" i="2"/>
  <c r="AS12" i="2"/>
  <c r="AT12" i="2"/>
  <c r="AU12" i="2"/>
  <c r="AV12" i="2"/>
  <c r="AW12" i="2"/>
  <c r="AX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AR13" i="2"/>
  <c r="AS13" i="2"/>
  <c r="AT13" i="2"/>
  <c r="AU13" i="2"/>
  <c r="AV13" i="2"/>
  <c r="AW13" i="2"/>
  <c r="AX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AR14" i="2"/>
  <c r="AS14" i="2"/>
  <c r="AT14" i="2"/>
  <c r="AU14" i="2"/>
  <c r="AV14" i="2"/>
  <c r="AW14" i="2"/>
  <c r="AX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AR15" i="2"/>
  <c r="AS15" i="2"/>
  <c r="AT15" i="2"/>
  <c r="AU15" i="2"/>
  <c r="AV15" i="2"/>
  <c r="AW15" i="2"/>
  <c r="AX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AR16" i="2"/>
  <c r="AS16" i="2"/>
  <c r="AT16" i="2"/>
  <c r="AU16" i="2"/>
  <c r="AV16" i="2"/>
  <c r="AW16" i="2"/>
  <c r="AX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F3" i="2"/>
  <c r="F3" i="3" s="1"/>
  <c r="AR17" i="2"/>
  <c r="AS17" i="2"/>
  <c r="AT17" i="2"/>
  <c r="AU17" i="2"/>
  <c r="AV17" i="2"/>
  <c r="AW17" i="2"/>
  <c r="AX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AR18" i="2"/>
  <c r="AS18" i="2"/>
  <c r="AT18" i="2"/>
  <c r="AU18" i="2"/>
  <c r="AV18" i="2"/>
  <c r="AW18" i="2"/>
  <c r="AX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AR19" i="2"/>
  <c r="AS19" i="2"/>
  <c r="AT19" i="2"/>
  <c r="AU19" i="2"/>
  <c r="AV19" i="2"/>
  <c r="AW19" i="2"/>
  <c r="AX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AR20" i="2"/>
  <c r="AS20" i="2"/>
  <c r="AT20" i="2"/>
  <c r="AU20" i="2"/>
  <c r="AV20" i="2"/>
  <c r="AW20" i="2"/>
  <c r="AX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AR21" i="2"/>
  <c r="AS21" i="2"/>
  <c r="AT21" i="2"/>
  <c r="AU21" i="2"/>
  <c r="AV21" i="2"/>
  <c r="AW21" i="2"/>
  <c r="AX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AR22" i="2"/>
  <c r="AS22" i="2"/>
  <c r="AT22" i="2"/>
  <c r="AU22" i="2"/>
  <c r="AV22" i="2"/>
  <c r="AW22" i="2"/>
  <c r="AX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AR23" i="2"/>
  <c r="AS23" i="2"/>
  <c r="AT23" i="2"/>
  <c r="AU23" i="2"/>
  <c r="AV23" i="2"/>
  <c r="AW23" i="2"/>
  <c r="AX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AR24" i="2"/>
  <c r="AS24" i="2"/>
  <c r="AT24" i="2"/>
  <c r="AU24" i="2"/>
  <c r="AV24" i="2"/>
  <c r="AW24" i="2"/>
  <c r="AX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AR25" i="2"/>
  <c r="AS25" i="2"/>
  <c r="AT25" i="2"/>
  <c r="AU25" i="2"/>
  <c r="AV25" i="2"/>
  <c r="AW25" i="2"/>
  <c r="AX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AR26" i="2"/>
  <c r="AS26" i="2"/>
  <c r="AT26" i="2"/>
  <c r="AU26" i="2"/>
  <c r="AV26" i="2"/>
  <c r="AW26" i="2"/>
  <c r="AX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AR27" i="2"/>
  <c r="AS27" i="2"/>
  <c r="AT27" i="2"/>
  <c r="AU27" i="2"/>
  <c r="AV27" i="2"/>
  <c r="AW27" i="2"/>
  <c r="AX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AR28" i="2"/>
  <c r="AS28" i="2"/>
  <c r="AT28" i="2"/>
  <c r="AU28" i="2"/>
  <c r="AV28" i="2"/>
  <c r="AW28" i="2"/>
  <c r="AX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AR29" i="2"/>
  <c r="AS29" i="2"/>
  <c r="AT29" i="2"/>
  <c r="AU29" i="2"/>
  <c r="AV29" i="2"/>
  <c r="AW29" i="2"/>
  <c r="AX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AR30" i="2"/>
  <c r="AS30" i="2"/>
  <c r="AT30" i="2"/>
  <c r="AU30" i="2"/>
  <c r="AV30" i="2"/>
  <c r="AW30" i="2"/>
  <c r="AX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AR31" i="2"/>
  <c r="AS31" i="2"/>
  <c r="AT31" i="2"/>
  <c r="AU31" i="2"/>
  <c r="AV31" i="2"/>
  <c r="AW31" i="2"/>
  <c r="AX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AR32" i="2"/>
  <c r="AS32" i="2"/>
  <c r="AT32" i="2"/>
  <c r="AU32" i="2"/>
  <c r="AV32" i="2"/>
  <c r="AW32" i="2"/>
  <c r="AX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AR33" i="2"/>
  <c r="AS33" i="2"/>
  <c r="AT33" i="2"/>
  <c r="AU33" i="2"/>
  <c r="AV33" i="2"/>
  <c r="AW33" i="2"/>
  <c r="AX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AR34" i="2"/>
  <c r="AS34" i="2"/>
  <c r="AT34" i="2"/>
  <c r="AU34" i="2"/>
  <c r="AV34" i="2"/>
  <c r="AW34" i="2"/>
  <c r="AX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AR35" i="2"/>
  <c r="AS35" i="2"/>
  <c r="AT35" i="2"/>
  <c r="AU35" i="2"/>
  <c r="AV35" i="2"/>
  <c r="AW35" i="2"/>
  <c r="AX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AR36" i="2"/>
  <c r="AS36" i="2"/>
  <c r="AT36" i="2"/>
  <c r="AU36" i="2"/>
  <c r="AV36" i="2"/>
  <c r="AW36" i="2"/>
  <c r="AX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AR37" i="2"/>
  <c r="AS37" i="2"/>
  <c r="AT37" i="2"/>
  <c r="AU37" i="2"/>
  <c r="AV37" i="2"/>
  <c r="AW37" i="2"/>
  <c r="AX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AR38" i="2"/>
  <c r="AS38" i="2"/>
  <c r="AT38" i="2"/>
  <c r="AU38" i="2"/>
  <c r="AV38" i="2"/>
  <c r="AW38" i="2"/>
  <c r="AX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AR39" i="2"/>
  <c r="AS39" i="2"/>
  <c r="AT39" i="2"/>
  <c r="AU39" i="2"/>
  <c r="AV39" i="2"/>
  <c r="AW39" i="2"/>
  <c r="AX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AR40" i="2"/>
  <c r="AS40" i="2"/>
  <c r="AT40" i="2"/>
  <c r="AU40" i="2"/>
  <c r="AV40" i="2"/>
  <c r="AW40" i="2"/>
  <c r="AX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AR41" i="2"/>
  <c r="AS41" i="2"/>
  <c r="AT41" i="2"/>
  <c r="AU41" i="2"/>
  <c r="AV41" i="2"/>
  <c r="AW41" i="2"/>
  <c r="AX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AR42" i="2"/>
  <c r="AS42" i="2"/>
  <c r="AT42" i="2"/>
  <c r="AU42" i="2"/>
  <c r="AV42" i="2"/>
  <c r="AW42" i="2"/>
  <c r="AX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AR43" i="2"/>
  <c r="AS43" i="2"/>
  <c r="AT43" i="2"/>
  <c r="AU43" i="2"/>
  <c r="AV43" i="2"/>
  <c r="AW43" i="2"/>
  <c r="AX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AR44" i="2"/>
  <c r="AS44" i="2"/>
  <c r="AT44" i="2"/>
  <c r="AU44" i="2"/>
  <c r="AV44" i="2"/>
  <c r="AW44" i="2"/>
  <c r="AX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AR45" i="2"/>
  <c r="AS45" i="2"/>
  <c r="AT45" i="2"/>
  <c r="AU45" i="2"/>
  <c r="AV45" i="2"/>
  <c r="AW45" i="2"/>
  <c r="AX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AR46" i="2"/>
  <c r="AS46" i="2"/>
  <c r="AT46" i="2"/>
  <c r="AU46" i="2"/>
  <c r="AV46" i="2"/>
  <c r="AW46" i="2"/>
  <c r="AX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AR47" i="2"/>
  <c r="AS47" i="2"/>
  <c r="AT47" i="2"/>
  <c r="AU47" i="2"/>
  <c r="AV47" i="2"/>
  <c r="AW47" i="2"/>
  <c r="AX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AR48" i="2"/>
  <c r="AS48" i="2"/>
  <c r="AT48" i="2"/>
  <c r="AU48" i="2"/>
  <c r="AV48" i="2"/>
  <c r="AW48" i="2"/>
  <c r="AX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AR49" i="2"/>
  <c r="AS49" i="2"/>
  <c r="AT49" i="2"/>
  <c r="AU49" i="2"/>
  <c r="AV49" i="2"/>
  <c r="AW49" i="2"/>
  <c r="AX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AR50" i="2"/>
  <c r="AS50" i="2"/>
  <c r="AT50" i="2"/>
  <c r="AU50" i="2"/>
  <c r="AV50" i="2"/>
  <c r="AW50" i="2"/>
  <c r="AX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AR51" i="2"/>
  <c r="AS51" i="2"/>
  <c r="AT51" i="2"/>
  <c r="AU51" i="2"/>
  <c r="AV51" i="2"/>
  <c r="AW51" i="2"/>
  <c r="AX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AR52" i="2"/>
  <c r="AS52" i="2"/>
  <c r="AT52" i="2"/>
  <c r="AU52" i="2"/>
  <c r="AV52" i="2"/>
  <c r="AW52" i="2"/>
  <c r="AX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AR53" i="2"/>
  <c r="AS53" i="2"/>
  <c r="AT53" i="2"/>
  <c r="AU53" i="2"/>
  <c r="AV53" i="2"/>
  <c r="AW53" i="2"/>
  <c r="AX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AR54" i="2"/>
  <c r="AS54" i="2"/>
  <c r="AT54" i="2"/>
  <c r="AU54" i="2"/>
  <c r="AV54" i="2"/>
  <c r="AW54" i="2"/>
  <c r="AX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AR55" i="2"/>
  <c r="AS55" i="2"/>
  <c r="AT55" i="2"/>
  <c r="AU55" i="2"/>
  <c r="AV55" i="2"/>
  <c r="AW55" i="2"/>
  <c r="AX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AR56" i="2"/>
  <c r="AS56" i="2"/>
  <c r="AT56" i="2"/>
  <c r="AU56" i="2"/>
  <c r="AV56" i="2"/>
  <c r="AW56" i="2"/>
  <c r="AX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AR57" i="2"/>
  <c r="AS57" i="2"/>
  <c r="AT57" i="2"/>
  <c r="AU57" i="2"/>
  <c r="AV57" i="2"/>
  <c r="AW57" i="2"/>
  <c r="AX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AR58" i="2"/>
  <c r="AS58" i="2"/>
  <c r="AT58" i="2"/>
  <c r="AU58" i="2"/>
  <c r="AV58" i="2"/>
  <c r="AW58" i="2"/>
  <c r="AX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AR59" i="2"/>
  <c r="AS59" i="2"/>
  <c r="AT59" i="2"/>
  <c r="AU59" i="2"/>
  <c r="AV59" i="2"/>
  <c r="AW59" i="2"/>
  <c r="AX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AR60" i="2"/>
  <c r="AS60" i="2"/>
  <c r="AT60" i="2"/>
  <c r="AU60" i="2"/>
  <c r="AV60" i="2"/>
  <c r="AW60" i="2"/>
  <c r="AX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AR61" i="2"/>
  <c r="AS61" i="2"/>
  <c r="AT61" i="2"/>
  <c r="AU61" i="2"/>
  <c r="AV61" i="2"/>
  <c r="AW61" i="2"/>
  <c r="AX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AR62" i="2"/>
  <c r="AS62" i="2"/>
  <c r="AT62" i="2"/>
  <c r="AU62" i="2"/>
  <c r="AV62" i="2"/>
  <c r="AW62" i="2"/>
  <c r="AX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AR63" i="2"/>
  <c r="AS63" i="2"/>
  <c r="AT63" i="2"/>
  <c r="AU63" i="2"/>
  <c r="AV63" i="2"/>
  <c r="AW63" i="2"/>
  <c r="AX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AR64" i="2"/>
  <c r="AS64" i="2"/>
  <c r="AT64" i="2"/>
  <c r="AU64" i="2"/>
  <c r="AV64" i="2"/>
  <c r="AW64" i="2"/>
  <c r="AX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AR65" i="2"/>
  <c r="AS65" i="2"/>
  <c r="AT65" i="2"/>
  <c r="AU65" i="2"/>
  <c r="AV65" i="2"/>
  <c r="AW65" i="2"/>
  <c r="AX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AR66" i="2"/>
  <c r="AS66" i="2"/>
  <c r="AT66" i="2"/>
  <c r="AU66" i="2"/>
  <c r="AV66" i="2"/>
  <c r="AW66" i="2"/>
  <c r="AX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AR67" i="2"/>
  <c r="AS67" i="2"/>
  <c r="AT67" i="2"/>
  <c r="AU67" i="2"/>
  <c r="AV67" i="2"/>
  <c r="AW67" i="2"/>
  <c r="AX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AR68" i="2"/>
  <c r="AS68" i="2"/>
  <c r="AT68" i="2"/>
  <c r="AU68" i="2"/>
  <c r="AV68" i="2"/>
  <c r="AW68" i="2"/>
  <c r="AX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AR69" i="2"/>
  <c r="AS69" i="2"/>
  <c r="AT69" i="2"/>
  <c r="AU69" i="2"/>
  <c r="AV69" i="2"/>
  <c r="AW69" i="2"/>
  <c r="AX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AR70" i="2"/>
  <c r="AS70" i="2"/>
  <c r="AT70" i="2"/>
  <c r="AU70" i="2"/>
  <c r="AV70" i="2"/>
  <c r="AW70" i="2"/>
  <c r="AX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AR71" i="2"/>
  <c r="AS71" i="2"/>
  <c r="AT71" i="2"/>
  <c r="AU71" i="2"/>
  <c r="AV71" i="2"/>
  <c r="AW71" i="2"/>
  <c r="AX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AR72" i="2"/>
  <c r="AS72" i="2"/>
  <c r="AT72" i="2"/>
  <c r="AU72" i="2"/>
  <c r="AV72" i="2"/>
  <c r="AW72" i="2"/>
  <c r="AX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AR73" i="2"/>
  <c r="AS73" i="2"/>
  <c r="AT73" i="2"/>
  <c r="AU73" i="2"/>
  <c r="AV73" i="2"/>
  <c r="AW73" i="2"/>
  <c r="AX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AR74" i="2"/>
  <c r="AS74" i="2"/>
  <c r="AT74" i="2"/>
  <c r="AU74" i="2"/>
  <c r="AV74" i="2"/>
  <c r="AW74" i="2"/>
  <c r="AX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AR75" i="2"/>
  <c r="AS75" i="2"/>
  <c r="AT75" i="2"/>
  <c r="AU75" i="2"/>
  <c r="AV75" i="2"/>
  <c r="AW75" i="2"/>
  <c r="AX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AR76" i="2"/>
  <c r="AS76" i="2"/>
  <c r="AT76" i="2"/>
  <c r="AU76" i="2"/>
  <c r="AV76" i="2"/>
  <c r="AW76" i="2"/>
  <c r="AX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AR77" i="2"/>
  <c r="AS77" i="2"/>
  <c r="AT77" i="2"/>
  <c r="AU77" i="2"/>
  <c r="AV77" i="2"/>
  <c r="AW77" i="2"/>
  <c r="AX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AR78" i="2"/>
  <c r="AS78" i="2"/>
  <c r="AT78" i="2"/>
  <c r="AU78" i="2"/>
  <c r="AV78" i="2"/>
  <c r="AW78" i="2"/>
  <c r="AX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AR79" i="2"/>
  <c r="AS79" i="2"/>
  <c r="AT79" i="2"/>
  <c r="AU79" i="2"/>
  <c r="AV79" i="2"/>
  <c r="AW79" i="2"/>
  <c r="AX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AR80" i="2"/>
  <c r="AS80" i="2"/>
  <c r="AT80" i="2"/>
  <c r="AU80" i="2"/>
  <c r="AV80" i="2"/>
  <c r="AW80" i="2"/>
  <c r="AX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AR81" i="2"/>
  <c r="AS81" i="2"/>
  <c r="AT81" i="2"/>
  <c r="AU81" i="2"/>
  <c r="AV81" i="2"/>
  <c r="AW81" i="2"/>
  <c r="AX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AR82" i="2"/>
  <c r="AS82" i="2"/>
  <c r="AT82" i="2"/>
  <c r="AU82" i="2"/>
  <c r="AV82" i="2"/>
  <c r="AW82" i="2"/>
  <c r="AX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AR83" i="2"/>
  <c r="AS83" i="2"/>
  <c r="AT83" i="2"/>
  <c r="AU83" i="2"/>
  <c r="AV83" i="2"/>
  <c r="AW83" i="2"/>
  <c r="AX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AR84" i="2"/>
  <c r="AS84" i="2"/>
  <c r="AT84" i="2"/>
  <c r="AU84" i="2"/>
  <c r="AV84" i="2"/>
  <c r="AW84" i="2"/>
  <c r="AX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AR85" i="2"/>
  <c r="AS85" i="2"/>
  <c r="AT85" i="2"/>
  <c r="AU85" i="2"/>
  <c r="AV85" i="2"/>
  <c r="AW85" i="2"/>
  <c r="AX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L3" i="2" l="1"/>
  <c r="K1" i="3" s="1"/>
  <c r="V7" i="2"/>
  <c r="V71" i="2"/>
  <c r="V23" i="2"/>
  <c r="V62" i="2"/>
  <c r="M62" i="2"/>
  <c r="V6" i="2"/>
  <c r="M59" i="2"/>
  <c r="M24" i="2"/>
  <c r="M86" i="2"/>
  <c r="M45" i="2"/>
  <c r="M29" i="2"/>
  <c r="M32" i="2"/>
  <c r="M64" i="2"/>
  <c r="M40" i="2"/>
  <c r="M55" i="2"/>
  <c r="M78" i="2"/>
  <c r="M38" i="2"/>
  <c r="M83" i="2"/>
  <c r="M67" i="2"/>
  <c r="M11" i="2"/>
  <c r="M23" i="2"/>
  <c r="M80" i="2"/>
  <c r="M31" i="2"/>
  <c r="M42" i="2"/>
  <c r="M34" i="2"/>
  <c r="M53" i="2"/>
  <c r="M75" i="2"/>
  <c r="M81" i="2"/>
  <c r="M73" i="2"/>
  <c r="M65" i="2"/>
  <c r="M57" i="2"/>
  <c r="M41" i="2"/>
  <c r="M33" i="2"/>
  <c r="M25" i="2"/>
  <c r="M47" i="2"/>
  <c r="M21" i="2"/>
  <c r="M76" i="2"/>
  <c r="M52" i="2"/>
  <c r="M36" i="2"/>
  <c r="M28" i="2"/>
  <c r="M20" i="2"/>
  <c r="M58" i="2"/>
  <c r="M26" i="2"/>
  <c r="AF7" i="2"/>
  <c r="M56" i="2"/>
  <c r="M77" i="2"/>
  <c r="M49" i="2"/>
  <c r="M69" i="2"/>
  <c r="M51" i="2"/>
  <c r="M50" i="2"/>
  <c r="M68" i="2"/>
  <c r="M8" i="2"/>
  <c r="M72" i="2"/>
  <c r="M63" i="2"/>
  <c r="M46" i="2"/>
  <c r="M22" i="2"/>
  <c r="M10" i="2"/>
  <c r="M17" i="2"/>
  <c r="M16" i="2"/>
  <c r="M13" i="2"/>
  <c r="M48" i="2"/>
  <c r="M15" i="2"/>
  <c r="M71" i="2"/>
  <c r="M7" i="2"/>
  <c r="M37" i="2"/>
  <c r="M30" i="2"/>
  <c r="M87" i="2"/>
  <c r="M54" i="2"/>
  <c r="M12" i="2"/>
  <c r="M14" i="2"/>
  <c r="M85" i="2"/>
  <c r="M27" i="2"/>
  <c r="M19" i="2"/>
  <c r="M35" i="2"/>
  <c r="M82" i="2"/>
  <c r="M9" i="2"/>
  <c r="M70" i="2"/>
  <c r="M18" i="2"/>
  <c r="M84" i="2"/>
  <c r="M43" i="2"/>
  <c r="M79" i="2"/>
  <c r="M39" i="2"/>
  <c r="M44" i="2"/>
  <c r="M74" i="2"/>
  <c r="M66" i="2"/>
  <c r="M6" i="2"/>
  <c r="Y71" i="2" l="1"/>
  <c r="O71" i="2"/>
  <c r="P71" i="2"/>
  <c r="R71" i="2" s="1"/>
  <c r="P85" i="2"/>
  <c r="R85" i="2" s="1"/>
  <c r="O85" i="2"/>
  <c r="Y85" i="2"/>
  <c r="P74" i="2"/>
  <c r="R74" i="2" s="1"/>
  <c r="Y74" i="2"/>
  <c r="O74" i="2"/>
  <c r="P38" i="2"/>
  <c r="R38" i="2" s="1"/>
  <c r="Y38" i="2"/>
  <c r="O38" i="2"/>
  <c r="P57" i="2"/>
  <c r="R57" i="2" s="1"/>
  <c r="O57" i="2"/>
  <c r="Y57" i="2"/>
  <c r="O63" i="2"/>
  <c r="P63" i="2"/>
  <c r="R63" i="2" s="1"/>
  <c r="Y63" i="2"/>
  <c r="P66" i="2"/>
  <c r="R66" i="2" s="1"/>
  <c r="Y66" i="2"/>
  <c r="O66" i="2"/>
  <c r="P76" i="2"/>
  <c r="Y76" i="2"/>
  <c r="O76" i="2"/>
  <c r="P32" i="2"/>
  <c r="R32" i="2" s="1"/>
  <c r="O32" i="2"/>
  <c r="Y32" i="2"/>
  <c r="Y41" i="2"/>
  <c r="P41" i="2"/>
  <c r="R41" i="2" s="1"/>
  <c r="O41" i="2"/>
  <c r="Y18" i="2"/>
  <c r="P18" i="2"/>
  <c r="R18" i="2" s="1"/>
  <c r="O18" i="2"/>
  <c r="P10" i="2"/>
  <c r="O10" i="2"/>
  <c r="Y10" i="2"/>
  <c r="O28" i="2"/>
  <c r="Y28" i="2"/>
  <c r="P28" i="2"/>
  <c r="R28" i="2" s="1"/>
  <c r="Y50" i="2"/>
  <c r="P50" i="2"/>
  <c r="R50" i="2" s="1"/>
  <c r="O50" i="2"/>
  <c r="O84" i="2"/>
  <c r="P84" i="2"/>
  <c r="R84" i="2" s="1"/>
  <c r="Y84" i="2"/>
  <c r="Y15" i="2"/>
  <c r="O15" i="2"/>
  <c r="P15" i="2"/>
  <c r="Y56" i="2"/>
  <c r="O56" i="2"/>
  <c r="P56" i="2"/>
  <c r="R56" i="2" s="1"/>
  <c r="Y64" i="2"/>
  <c r="O64" i="2"/>
  <c r="P64" i="2"/>
  <c r="R64" i="2" s="1"/>
  <c r="O9" i="2"/>
  <c r="Y9" i="2"/>
  <c r="P9" i="2"/>
  <c r="R9" i="2" s="1"/>
  <c r="Y82" i="2"/>
  <c r="O82" i="2"/>
  <c r="P82" i="2"/>
  <c r="R82" i="2" s="1"/>
  <c r="O29" i="2"/>
  <c r="Y29" i="2"/>
  <c r="P29" i="2"/>
  <c r="R29" i="2" s="1"/>
  <c r="O17" i="2"/>
  <c r="Y17" i="2"/>
  <c r="P17" i="2"/>
  <c r="R17" i="2" s="1"/>
  <c r="O19" i="2"/>
  <c r="P19" i="2"/>
  <c r="R19" i="2" s="1"/>
  <c r="Y19" i="2"/>
  <c r="O34" i="2"/>
  <c r="P34" i="2"/>
  <c r="R34" i="2" s="1"/>
  <c r="Y34" i="2"/>
  <c r="Y42" i="2"/>
  <c r="O42" i="2"/>
  <c r="P42" i="2"/>
  <c r="R42" i="2" s="1"/>
  <c r="Y31" i="2"/>
  <c r="P31" i="2"/>
  <c r="R31" i="2" s="1"/>
  <c r="O31" i="2"/>
  <c r="P6" i="2"/>
  <c r="Y6" i="2"/>
  <c r="O6" i="2"/>
  <c r="P52" i="2"/>
  <c r="R52" i="2" s="1"/>
  <c r="Y52" i="2"/>
  <c r="O52" i="2"/>
  <c r="O62" i="2"/>
  <c r="P62" i="2"/>
  <c r="R62" i="2" s="1"/>
  <c r="Y62" i="2"/>
  <c r="Y21" i="2"/>
  <c r="O21" i="2"/>
  <c r="P21" i="2"/>
  <c r="R21" i="2" s="1"/>
  <c r="Y68" i="2"/>
  <c r="O68" i="2"/>
  <c r="P68" i="2"/>
  <c r="R68" i="2" s="1"/>
  <c r="P67" i="2"/>
  <c r="R67" i="2" s="1"/>
  <c r="O67" i="2"/>
  <c r="Y67" i="2"/>
  <c r="Y49" i="2"/>
  <c r="O49" i="2"/>
  <c r="P49" i="2"/>
  <c r="R49" i="2" s="1"/>
  <c r="Y77" i="2"/>
  <c r="O77" i="2"/>
  <c r="P77" i="2"/>
  <c r="R77" i="2" s="1"/>
  <c r="P70" i="2"/>
  <c r="R70" i="2" s="1"/>
  <c r="Y70" i="2"/>
  <c r="O70" i="2"/>
  <c r="P73" i="2"/>
  <c r="R73" i="2" s="1"/>
  <c r="Y73" i="2"/>
  <c r="O73" i="2"/>
  <c r="O13" i="2"/>
  <c r="P13" i="2"/>
  <c r="Y13" i="2"/>
  <c r="Y26" i="2"/>
  <c r="O26" i="2"/>
  <c r="P26" i="2"/>
  <c r="R26" i="2" s="1"/>
  <c r="O35" i="2"/>
  <c r="Y35" i="2"/>
  <c r="P35" i="2"/>
  <c r="R35" i="2" s="1"/>
  <c r="P53" i="2"/>
  <c r="R53" i="2" s="1"/>
  <c r="Y53" i="2"/>
  <c r="O53" i="2"/>
  <c r="Y86" i="2"/>
  <c r="O86" i="2"/>
  <c r="P86" i="2"/>
  <c r="R86" i="2" s="1"/>
  <c r="Y27" i="2"/>
  <c r="O27" i="2"/>
  <c r="P27" i="2"/>
  <c r="R27" i="2" s="1"/>
  <c r="Y46" i="2"/>
  <c r="P46" i="2"/>
  <c r="O46" i="2"/>
  <c r="Y59" i="2"/>
  <c r="O59" i="2"/>
  <c r="P59" i="2"/>
  <c r="R59" i="2" s="1"/>
  <c r="Y14" i="2"/>
  <c r="O14" i="2"/>
  <c r="P14" i="2"/>
  <c r="R14" i="2" s="1"/>
  <c r="Y80" i="2"/>
  <c r="O80" i="2"/>
  <c r="P80" i="2"/>
  <c r="R80" i="2" s="1"/>
  <c r="Y23" i="2"/>
  <c r="O23" i="2"/>
  <c r="P23" i="2"/>
  <c r="R23" i="2" s="1"/>
  <c r="Y8" i="2"/>
  <c r="O8" i="2"/>
  <c r="P8" i="2"/>
  <c r="R8" i="2" s="1"/>
  <c r="Y11" i="2"/>
  <c r="O11" i="2"/>
  <c r="P11" i="2"/>
  <c r="P44" i="2"/>
  <c r="R44" i="2" s="1"/>
  <c r="Y44" i="2"/>
  <c r="O44" i="2"/>
  <c r="O87" i="2"/>
  <c r="P87" i="2"/>
  <c r="R87" i="2" s="1"/>
  <c r="Y87" i="2"/>
  <c r="Y47" i="2"/>
  <c r="O47" i="2"/>
  <c r="P47" i="2"/>
  <c r="R47" i="2" s="1"/>
  <c r="Y39" i="2"/>
  <c r="O39" i="2"/>
  <c r="P39" i="2"/>
  <c r="R39" i="2" s="1"/>
  <c r="O30" i="2"/>
  <c r="P30" i="2"/>
  <c r="R30" i="2" s="1"/>
  <c r="Y30" i="2"/>
  <c r="Y25" i="2"/>
  <c r="O25" i="2"/>
  <c r="P25" i="2"/>
  <c r="R25" i="2" s="1"/>
  <c r="Y83" i="2"/>
  <c r="O83" i="2"/>
  <c r="P83" i="2"/>
  <c r="R83" i="2" s="1"/>
  <c r="P40" i="2"/>
  <c r="R40" i="2" s="1"/>
  <c r="Y40" i="2"/>
  <c r="O40" i="2"/>
  <c r="P55" i="2"/>
  <c r="R55" i="2" s="1"/>
  <c r="Y55" i="2"/>
  <c r="O55" i="2"/>
  <c r="Y65" i="2"/>
  <c r="O65" i="2"/>
  <c r="P65" i="2"/>
  <c r="R65" i="2" s="1"/>
  <c r="P48" i="2"/>
  <c r="R48" i="2" s="1"/>
  <c r="Y48" i="2"/>
  <c r="O48" i="2"/>
  <c r="Y16" i="2"/>
  <c r="O16" i="2"/>
  <c r="P16" i="2"/>
  <c r="R16" i="2" s="1"/>
  <c r="Y75" i="2"/>
  <c r="O75" i="2"/>
  <c r="P75" i="2"/>
  <c r="R75" i="2" s="1"/>
  <c r="O58" i="2"/>
  <c r="Y58" i="2"/>
  <c r="P58" i="2"/>
  <c r="R58" i="2" s="1"/>
  <c r="P45" i="2"/>
  <c r="R45" i="2" s="1"/>
  <c r="Y45" i="2"/>
  <c r="O45" i="2"/>
  <c r="O20" i="2"/>
  <c r="Y20" i="2"/>
  <c r="P20" i="2"/>
  <c r="R20" i="2" s="1"/>
  <c r="P22" i="2"/>
  <c r="R22" i="2" s="1"/>
  <c r="Y22" i="2"/>
  <c r="O22" i="2"/>
  <c r="Y24" i="2"/>
  <c r="O24" i="2"/>
  <c r="P24" i="2"/>
  <c r="R24" i="2" s="1"/>
  <c r="Y36" i="2"/>
  <c r="O36" i="2"/>
  <c r="P36" i="2"/>
  <c r="Y12" i="2"/>
  <c r="O12" i="2"/>
  <c r="P12" i="2"/>
  <c r="R12" i="2" s="1"/>
  <c r="Y72" i="2"/>
  <c r="O72" i="2"/>
  <c r="P72" i="2"/>
  <c r="R72" i="2" s="1"/>
  <c r="P79" i="2"/>
  <c r="R79" i="2" s="1"/>
  <c r="O79" i="2"/>
  <c r="Y79" i="2"/>
  <c r="Y37" i="2"/>
  <c r="O37" i="2"/>
  <c r="P37" i="2"/>
  <c r="R37" i="2" s="1"/>
  <c r="Y51" i="2"/>
  <c r="O51" i="2"/>
  <c r="P51" i="2"/>
  <c r="R51" i="2" s="1"/>
  <c r="P33" i="2"/>
  <c r="R33" i="2" s="1"/>
  <c r="Y33" i="2"/>
  <c r="O33" i="2"/>
  <c r="Y43" i="2"/>
  <c r="O43" i="2"/>
  <c r="P43" i="2"/>
  <c r="R43" i="2" s="1"/>
  <c r="Y7" i="2"/>
  <c r="O7" i="2"/>
  <c r="P7" i="2"/>
  <c r="Y69" i="2"/>
  <c r="O69" i="2"/>
  <c r="P69" i="2"/>
  <c r="R69" i="2" s="1"/>
  <c r="Y78" i="2"/>
  <c r="O78" i="2"/>
  <c r="P78" i="2"/>
  <c r="R78" i="2" s="1"/>
  <c r="O81" i="2"/>
  <c r="P81" i="2"/>
  <c r="R81" i="2" s="1"/>
  <c r="Y81" i="2"/>
  <c r="P54" i="2"/>
  <c r="Y54" i="2"/>
  <c r="O54" i="2"/>
  <c r="AH2" i="2"/>
  <c r="R61" i="2"/>
  <c r="D2" i="2" l="1"/>
  <c r="K1" i="2"/>
  <c r="M1" i="2"/>
  <c r="P2" i="2"/>
  <c r="R13" i="2"/>
  <c r="R76" i="2"/>
  <c r="Z67" i="2"/>
  <c r="Z83" i="2"/>
  <c r="Z40" i="2"/>
  <c r="Z43" i="2"/>
  <c r="Z75" i="2"/>
  <c r="Z42" i="2"/>
  <c r="Z74" i="2"/>
  <c r="Z39" i="2"/>
  <c r="Z62" i="2"/>
  <c r="Z76" i="2"/>
  <c r="Z80" i="2"/>
  <c r="Z58" i="2"/>
  <c r="Z54" i="2"/>
  <c r="Z45" i="2"/>
  <c r="Z20" i="2"/>
  <c r="Z37" i="2"/>
  <c r="Z36" i="2"/>
  <c r="Z57" i="2"/>
  <c r="Z55" i="2"/>
  <c r="Z31" i="2"/>
  <c r="Z82" i="2"/>
  <c r="Z17" i="2"/>
  <c r="Z84" i="2"/>
  <c r="Z13" i="2"/>
  <c r="Z44" i="2"/>
  <c r="Z73" i="2"/>
  <c r="Z12" i="2"/>
  <c r="Z63" i="2"/>
  <c r="Z29" i="2"/>
  <c r="Z52" i="2"/>
  <c r="Z11" i="2"/>
  <c r="Z6" i="2"/>
  <c r="Z56" i="2"/>
  <c r="Z69" i="2"/>
  <c r="Z66" i="2"/>
  <c r="Z77" i="2"/>
  <c r="Z38" i="2"/>
  <c r="Z18" i="2"/>
  <c r="Z22" i="2"/>
  <c r="Z24" i="2"/>
  <c r="Z87" i="2"/>
  <c r="Z10" i="2"/>
  <c r="Z71" i="2"/>
  <c r="Z72" i="2"/>
  <c r="Z32" i="2"/>
  <c r="Z16" i="2"/>
  <c r="Z33" i="2"/>
  <c r="Z85" i="2"/>
  <c r="Z78" i="2"/>
  <c r="Z9" i="2"/>
  <c r="Z35" i="2"/>
  <c r="Z41" i="2"/>
  <c r="Z46" i="2"/>
  <c r="Z64" i="2"/>
  <c r="Z8" i="2"/>
  <c r="Z59" i="2"/>
  <c r="Z49" i="2"/>
  <c r="Z7" i="2"/>
  <c r="Z48" i="2"/>
  <c r="Z47" i="2"/>
  <c r="Z70" i="2"/>
  <c r="Z30" i="2"/>
  <c r="Z79" i="2"/>
  <c r="Z15" i="2"/>
  <c r="Z21" i="2"/>
  <c r="Z23" i="2"/>
  <c r="Z51" i="2"/>
  <c r="Z25" i="2"/>
  <c r="Z68" i="2"/>
  <c r="Z34" i="2"/>
  <c r="Z65" i="2"/>
  <c r="Z19" i="2"/>
  <c r="Z27" i="2"/>
  <c r="Z86" i="2"/>
  <c r="Z53" i="2"/>
  <c r="Z50" i="2"/>
  <c r="Z28" i="2"/>
  <c r="Z26" i="2"/>
  <c r="Z14" i="2"/>
  <c r="Z81" i="2"/>
  <c r="R11" i="2"/>
  <c r="R10" i="2"/>
  <c r="R54" i="2"/>
  <c r="R7" i="2"/>
  <c r="R46" i="2"/>
  <c r="R36" i="2"/>
  <c r="R15" i="2"/>
  <c r="R6" i="2"/>
  <c r="AH3" i="2"/>
  <c r="AH4" i="2" l="1"/>
  <c r="AH5" i="2" l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H34" i="2" s="1"/>
  <c r="AH35" i="2" s="1"/>
  <c r="AH36" i="2" s="1"/>
  <c r="AH37" i="2" s="1"/>
  <c r="AH38" i="2" s="1"/>
  <c r="AH39" i="2" s="1"/>
  <c r="AH40" i="2" s="1"/>
  <c r="AH41" i="2" s="1"/>
  <c r="AH42" i="2" s="1"/>
  <c r="AH43" i="2" s="1"/>
  <c r="AH44" i="2" s="1"/>
  <c r="AH45" i="2" s="1"/>
  <c r="AH46" i="2" s="1"/>
  <c r="AH47" i="2" s="1"/>
  <c r="AH48" i="2" s="1"/>
  <c r="F2" i="2" l="1"/>
  <c r="D3" i="2"/>
  <c r="F4" i="3" s="1"/>
  <c r="F5" i="3" s="1"/>
  <c r="F6" i="3" s="1"/>
  <c r="F1" i="3"/>
  <c r="G1" i="3" s="1"/>
  <c r="K3" i="2"/>
  <c r="F10" i="3" l="1"/>
  <c r="F8" i="3" s="1"/>
  <c r="F2" i="3"/>
  <c r="R60" i="2"/>
  <c r="X6" i="2" l="1"/>
  <c r="W6" i="2" s="1"/>
  <c r="X7" i="2"/>
  <c r="W7" i="2" s="1"/>
  <c r="X56" i="2"/>
  <c r="W56" i="2" s="1"/>
  <c r="X45" i="2"/>
  <c r="W45" i="2" s="1"/>
  <c r="X43" i="2"/>
  <c r="W43" i="2" s="1"/>
  <c r="X13" i="2"/>
  <c r="W13" i="2" s="1"/>
  <c r="X15" i="2"/>
  <c r="W15" i="2" s="1"/>
  <c r="X9" i="2"/>
  <c r="W9" i="2" s="1"/>
  <c r="X19" i="2"/>
  <c r="W19" i="2" s="1"/>
  <c r="X60" i="2"/>
  <c r="W60" i="2" s="1"/>
  <c r="X23" i="2"/>
  <c r="W23" i="2" s="1"/>
  <c r="X72" i="2"/>
  <c r="W72" i="2" s="1"/>
  <c r="X31" i="2"/>
  <c r="W31" i="2" s="1"/>
  <c r="X59" i="2"/>
  <c r="W59" i="2" s="1"/>
  <c r="X32" i="2"/>
  <c r="W32" i="2" s="1"/>
  <c r="X37" i="2"/>
  <c r="W37" i="2" s="1"/>
  <c r="X34" i="2"/>
  <c r="W34" i="2" s="1"/>
  <c r="X12" i="2"/>
  <c r="W12" i="2" s="1"/>
  <c r="X66" i="2"/>
  <c r="W66" i="2" s="1"/>
  <c r="X39" i="2"/>
  <c r="W39" i="2" s="1"/>
  <c r="X80" i="2"/>
  <c r="W80" i="2" s="1"/>
  <c r="X75" i="2"/>
  <c r="W75" i="2" s="1"/>
  <c r="X18" i="2"/>
  <c r="W18" i="2" s="1"/>
  <c r="X64" i="2"/>
  <c r="W64" i="2" s="1"/>
  <c r="X67" i="2"/>
  <c r="W67" i="2" s="1"/>
  <c r="X53" i="2"/>
  <c r="W53" i="2" s="1"/>
  <c r="X10" i="2"/>
  <c r="W10" i="2" s="1"/>
  <c r="X46" i="2"/>
  <c r="W46" i="2" s="1"/>
  <c r="X68" i="2"/>
  <c r="W68" i="2" s="1"/>
  <c r="X8" i="2"/>
  <c r="W8" i="2" s="1"/>
  <c r="X54" i="2"/>
  <c r="W54" i="2" s="1"/>
  <c r="X55" i="2"/>
  <c r="W55" i="2" s="1"/>
  <c r="X29" i="2"/>
  <c r="W29" i="2" s="1"/>
  <c r="X65" i="2"/>
  <c r="W65" i="2" s="1"/>
  <c r="X28" i="2"/>
  <c r="W28" i="2" s="1"/>
  <c r="X70" i="2"/>
  <c r="W70" i="2" s="1"/>
  <c r="X30" i="2"/>
  <c r="W30" i="2" s="1"/>
  <c r="X84" i="2"/>
  <c r="W84" i="2" s="1"/>
  <c r="X41" i="2"/>
  <c r="W41" i="2" s="1"/>
  <c r="X69" i="2"/>
  <c r="W69" i="2" s="1"/>
  <c r="X71" i="2"/>
  <c r="W71" i="2" s="1"/>
  <c r="X16" i="2"/>
  <c r="W16" i="2" s="1"/>
  <c r="X35" i="2"/>
  <c r="W35" i="2" s="1"/>
  <c r="X76" i="2"/>
  <c r="W76" i="2" s="1"/>
  <c r="X14" i="2"/>
  <c r="W14" i="2" s="1"/>
  <c r="X21" i="2"/>
  <c r="W21" i="2" s="1"/>
  <c r="X78" i="2"/>
  <c r="W78" i="2" s="1"/>
  <c r="X22" i="2"/>
  <c r="W22" i="2" s="1"/>
  <c r="X20" i="2"/>
  <c r="W20" i="2" s="1"/>
  <c r="X87" i="2"/>
  <c r="W87" i="2" s="1"/>
  <c r="X81" i="2"/>
  <c r="W81" i="2" s="1"/>
  <c r="X52" i="2"/>
  <c r="W52" i="2" s="1"/>
  <c r="X61" i="2"/>
  <c r="W61" i="2" s="1"/>
  <c r="X17" i="2"/>
  <c r="W17" i="2" s="1"/>
  <c r="X62" i="2"/>
  <c r="W62" i="2" s="1"/>
  <c r="X57" i="2"/>
  <c r="W57" i="2" s="1"/>
  <c r="X27" i="2"/>
  <c r="W27" i="2" s="1"/>
  <c r="X44" i="2"/>
  <c r="W44" i="2" s="1"/>
  <c r="X82" i="2"/>
  <c r="W82" i="2" s="1"/>
  <c r="X85" i="2"/>
  <c r="W85" i="2" s="1"/>
  <c r="X63" i="2"/>
  <c r="W63" i="2" s="1"/>
  <c r="X26" i="2"/>
  <c r="W26" i="2" s="1"/>
  <c r="X47" i="2"/>
  <c r="W47" i="2" s="1"/>
  <c r="X50" i="2"/>
  <c r="W50" i="2" s="1"/>
  <c r="X77" i="2"/>
  <c r="W77" i="2" s="1"/>
  <c r="X83" i="2"/>
  <c r="W83" i="2" s="1"/>
  <c r="X86" i="2"/>
  <c r="W86" i="2" s="1"/>
  <c r="X48" i="2"/>
  <c r="W48" i="2" s="1"/>
  <c r="X11" i="2"/>
  <c r="W11" i="2" s="1"/>
  <c r="X79" i="2"/>
  <c r="W79" i="2" s="1"/>
  <c r="X33" i="2"/>
  <c r="W33" i="2" s="1"/>
  <c r="X42" i="2"/>
  <c r="W42" i="2" s="1"/>
  <c r="X49" i="2"/>
  <c r="W49" i="2" s="1"/>
  <c r="X40" i="2"/>
  <c r="W40" i="2" s="1"/>
  <c r="X51" i="2"/>
  <c r="W51" i="2" s="1"/>
  <c r="X25" i="2"/>
  <c r="W25" i="2" s="1"/>
  <c r="X58" i="2"/>
  <c r="W58" i="2" s="1"/>
  <c r="X74" i="2"/>
  <c r="W74" i="2" s="1"/>
  <c r="X73" i="2"/>
  <c r="W73" i="2" s="1"/>
  <c r="X38" i="2"/>
  <c r="W38" i="2" s="1"/>
  <c r="X24" i="2"/>
  <c r="W24" i="2" s="1"/>
  <c r="X36" i="2"/>
  <c r="W36" i="2" s="1"/>
  <c r="U75" i="2"/>
  <c r="T75" i="2" s="1"/>
  <c r="U23" i="2"/>
  <c r="T23" i="2" s="1"/>
  <c r="U21" i="2"/>
  <c r="T21" i="2" s="1"/>
  <c r="U27" i="2"/>
  <c r="T27" i="2" s="1"/>
  <c r="U68" i="2"/>
  <c r="T68" i="2" s="1"/>
  <c r="U22" i="2"/>
  <c r="T22" i="2" s="1"/>
  <c r="U12" i="2"/>
  <c r="T12" i="2" s="1"/>
  <c r="U54" i="2"/>
  <c r="T54" i="2" s="1"/>
  <c r="U77" i="2"/>
  <c r="T77" i="2" s="1"/>
  <c r="U50" i="2"/>
  <c r="T50" i="2" s="1"/>
  <c r="U53" i="2"/>
  <c r="T53" i="2" s="1"/>
  <c r="U45" i="2"/>
  <c r="T45" i="2" s="1"/>
  <c r="U24" i="2"/>
  <c r="T24" i="2" s="1"/>
  <c r="U62" i="2"/>
  <c r="T62" i="2" s="1"/>
  <c r="U51" i="2"/>
  <c r="T51" i="2" s="1"/>
  <c r="U13" i="2"/>
  <c r="T13" i="2" s="1"/>
  <c r="U7" i="2"/>
  <c r="T7" i="2" s="1"/>
  <c r="U35" i="2"/>
  <c r="T35" i="2" s="1"/>
  <c r="U32" i="2"/>
  <c r="T32" i="2" s="1"/>
  <c r="U73" i="2"/>
  <c r="T73" i="2" s="1"/>
  <c r="U47" i="2"/>
  <c r="T47" i="2" s="1"/>
  <c r="U17" i="2"/>
  <c r="T17" i="2" s="1"/>
  <c r="U43" i="2"/>
  <c r="T43" i="2" s="1"/>
  <c r="U72" i="2"/>
  <c r="T72" i="2" s="1"/>
  <c r="U48" i="2"/>
  <c r="T48" i="2" s="1"/>
  <c r="U80" i="2"/>
  <c r="T80" i="2" s="1"/>
  <c r="U40" i="2"/>
  <c r="T40" i="2" s="1"/>
  <c r="U52" i="2"/>
  <c r="T52" i="2" s="1"/>
  <c r="U71" i="2"/>
  <c r="T71" i="2" s="1"/>
  <c r="U18" i="2"/>
  <c r="T18" i="2" s="1"/>
  <c r="U14" i="2"/>
  <c r="T14" i="2" s="1"/>
  <c r="U10" i="2"/>
  <c r="T10" i="2" s="1"/>
  <c r="U59" i="2"/>
  <c r="T59" i="2" s="1"/>
  <c r="U87" i="2"/>
  <c r="T87" i="2" s="1"/>
  <c r="U82" i="2"/>
  <c r="T82" i="2" s="1"/>
  <c r="U83" i="2"/>
  <c r="T83" i="2" s="1"/>
  <c r="U39" i="2"/>
  <c r="T39" i="2" s="1"/>
  <c r="U86" i="2"/>
  <c r="T86" i="2" s="1"/>
  <c r="U41" i="2"/>
  <c r="T41" i="2" s="1"/>
  <c r="U9" i="2"/>
  <c r="T9" i="2" s="1"/>
  <c r="U11" i="2"/>
  <c r="T11" i="2" s="1"/>
  <c r="U74" i="2"/>
  <c r="T74" i="2" s="1"/>
  <c r="U65" i="2"/>
  <c r="T65" i="2" s="1"/>
  <c r="U76" i="2"/>
  <c r="T76" i="2" s="1"/>
  <c r="U57" i="2"/>
  <c r="T57" i="2" s="1"/>
  <c r="U33" i="2"/>
  <c r="T33" i="2" s="1"/>
  <c r="U79" i="2"/>
  <c r="T79" i="2" s="1"/>
  <c r="U37" i="2"/>
  <c r="T37" i="2" s="1"/>
  <c r="U36" i="2"/>
  <c r="T36" i="2" s="1"/>
  <c r="U31" i="2"/>
  <c r="T31" i="2" s="1"/>
  <c r="U46" i="2"/>
  <c r="T46" i="2" s="1"/>
  <c r="U16" i="2"/>
  <c r="T16" i="2" s="1"/>
  <c r="U64" i="2"/>
  <c r="T64" i="2" s="1"/>
  <c r="U69" i="2"/>
  <c r="T69" i="2" s="1"/>
  <c r="U42" i="2"/>
  <c r="T42" i="2" s="1"/>
  <c r="U63" i="2"/>
  <c r="T63" i="2" s="1"/>
  <c r="U55" i="2"/>
  <c r="T55" i="2" s="1"/>
  <c r="U85" i="2"/>
  <c r="T85" i="2" s="1"/>
  <c r="U30" i="2"/>
  <c r="T30" i="2" s="1"/>
  <c r="U20" i="2"/>
  <c r="T20" i="2" s="1"/>
  <c r="U19" i="2"/>
  <c r="T19" i="2" s="1"/>
  <c r="U15" i="2"/>
  <c r="T15" i="2" s="1"/>
  <c r="U78" i="2"/>
  <c r="T78" i="2" s="1"/>
  <c r="U25" i="2"/>
  <c r="T25" i="2" s="1"/>
  <c r="U70" i="2"/>
  <c r="T70" i="2" s="1"/>
  <c r="U28" i="2"/>
  <c r="T28" i="2" s="1"/>
  <c r="U61" i="2"/>
  <c r="T61" i="2" s="1"/>
  <c r="U26" i="2"/>
  <c r="T26" i="2" s="1"/>
  <c r="U60" i="2"/>
  <c r="T60" i="2" s="1"/>
  <c r="U38" i="2"/>
  <c r="T38" i="2" s="1"/>
  <c r="U67" i="2"/>
  <c r="T67" i="2" s="1"/>
  <c r="U29" i="2"/>
  <c r="T29" i="2" s="1"/>
  <c r="U84" i="2"/>
  <c r="T84" i="2" s="1"/>
  <c r="U56" i="2"/>
  <c r="T56" i="2" s="1"/>
  <c r="U49" i="2"/>
  <c r="T49" i="2" s="1"/>
  <c r="U44" i="2"/>
  <c r="T44" i="2" s="1"/>
  <c r="U6" i="2"/>
  <c r="T6" i="2" s="1"/>
  <c r="U8" i="2"/>
  <c r="T8" i="2" s="1"/>
  <c r="U66" i="2"/>
  <c r="T66" i="2" s="1"/>
  <c r="U34" i="2"/>
  <c r="T34" i="2" s="1"/>
  <c r="U81" i="2"/>
  <c r="T81" i="2" s="1"/>
  <c r="U58" i="2"/>
  <c r="T58" i="2" s="1"/>
  <c r="M2" i="2"/>
  <c r="F9" i="3"/>
  <c r="H13" i="3" s="1"/>
  <c r="F11" i="3" l="1"/>
  <c r="H14" i="3"/>
  <c r="K7" i="3"/>
  <c r="J7" i="3"/>
  <c r="I7" i="3" s="1"/>
  <c r="J14" i="3"/>
  <c r="I14" i="3" s="1"/>
  <c r="K14" i="3"/>
  <c r="O3" i="3"/>
  <c r="O11" i="3"/>
  <c r="O13" i="3"/>
  <c r="K16" i="3"/>
  <c r="J16" i="3"/>
  <c r="I16" i="3" s="1"/>
  <c r="O15" i="3"/>
  <c r="J13" i="3"/>
  <c r="I13" i="3" s="1"/>
  <c r="K13" i="3"/>
  <c r="O9" i="3"/>
  <c r="K15" i="3"/>
  <c r="J15" i="3"/>
  <c r="I15" i="3" s="1"/>
  <c r="J5" i="3"/>
  <c r="I5" i="3" s="1"/>
  <c r="K5" i="3"/>
  <c r="O7" i="3"/>
  <c r="O5" i="3"/>
  <c r="O4" i="3"/>
  <c r="J3" i="3"/>
  <c r="I3" i="3" s="1"/>
  <c r="K3" i="3"/>
  <c r="O12" i="3"/>
  <c r="J9" i="3"/>
  <c r="I9" i="3" s="1"/>
  <c r="K9" i="3"/>
  <c r="K11" i="3"/>
  <c r="J11" i="3"/>
  <c r="I11" i="3" s="1"/>
  <c r="K8" i="3"/>
  <c r="J8" i="3"/>
  <c r="I8" i="3" s="1"/>
  <c r="J4" i="3"/>
  <c r="I4" i="3" s="1"/>
  <c r="K4" i="3"/>
  <c r="O16" i="3"/>
  <c r="K6" i="3"/>
  <c r="J6" i="3"/>
  <c r="I6" i="3" s="1"/>
  <c r="K10" i="3"/>
  <c r="J10" i="3"/>
  <c r="I10" i="3" s="1"/>
  <c r="J12" i="3"/>
  <c r="I12" i="3" s="1"/>
  <c r="K12" i="3"/>
  <c r="O14" i="3"/>
  <c r="O6" i="3"/>
  <c r="O8" i="3"/>
  <c r="O10" i="3"/>
  <c r="N14" i="3" l="1"/>
  <c r="M14" i="3" s="1"/>
  <c r="N15" i="3"/>
  <c r="M15" i="3" s="1"/>
  <c r="N5" i="3"/>
  <c r="M5" i="3" s="1"/>
  <c r="N13" i="3"/>
  <c r="M13" i="3" s="1"/>
  <c r="N12" i="3"/>
  <c r="M12" i="3" s="1"/>
  <c r="N7" i="3"/>
  <c r="M7" i="3" s="1"/>
  <c r="N11" i="3"/>
  <c r="M11" i="3" s="1"/>
  <c r="N8" i="3"/>
  <c r="M8" i="3" s="1"/>
  <c r="N3" i="3"/>
  <c r="M3" i="3" s="1"/>
  <c r="N16" i="3"/>
  <c r="M16" i="3" s="1"/>
  <c r="N10" i="3"/>
  <c r="M10" i="3" s="1"/>
  <c r="N6" i="3"/>
  <c r="M6" i="3" s="1"/>
  <c r="N4" i="3"/>
  <c r="M4" i="3" s="1"/>
  <c r="N9" i="3"/>
  <c r="M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Coelho</author>
    <author>tc={8A07B322-54DE-4C63-A3CC-CC5F002E1099}</author>
    <author>tc={F51D94D8-5163-46FB-9EA7-9D58F77CFBBE}</author>
    <author>tc={106C9778-BB0D-42D6-A7B0-CF468356746E}</author>
  </authors>
  <commentList>
    <comment ref="K1" authorId="0" shapeId="0" xr:uid="{9C673D05-74B2-4C40-9B89-944D8F2588BB}">
      <text>
        <r>
          <rPr>
            <b/>
            <sz val="9"/>
            <color indexed="81"/>
            <rFont val="Segoe UI"/>
            <family val="2"/>
          </rPr>
          <t>Gilberto Coelho:</t>
        </r>
        <r>
          <rPr>
            <sz val="9"/>
            <color indexed="81"/>
            <rFont val="Segoe UI"/>
            <family val="2"/>
          </rPr>
          <t xml:space="preserve">
atualizar linha
</t>
        </r>
      </text>
    </comment>
    <comment ref="M1" authorId="1" shapeId="0" xr:uid="{8A07B322-54DE-4C63-A3CC-CC5F002E109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ATUAL</t>
      </text>
    </comment>
    <comment ref="P2" authorId="0" shapeId="0" xr:uid="{FA64DC16-45D0-4510-B20E-F8C133A35819}">
      <text>
        <r>
          <rPr>
            <b/>
            <sz val="9"/>
            <color indexed="81"/>
            <rFont val="Segoe UI"/>
            <family val="2"/>
          </rPr>
          <t>Gilberto Coelho:</t>
        </r>
        <r>
          <rPr>
            <sz val="9"/>
            <color indexed="81"/>
            <rFont val="Segoe UI"/>
            <family val="2"/>
          </rPr>
          <t xml:space="preserve">
ATUAL
</t>
        </r>
      </text>
    </comment>
    <comment ref="O6" authorId="2" shapeId="0" xr:uid="{F51D94D8-5163-46FB-9EA7-9D58F77CFBB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Linha do Redutor</t>
      </text>
    </comment>
    <comment ref="Y6" authorId="3" shapeId="0" xr:uid="{106C9778-BB0D-42D6-A7B0-CF468356746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Linha do Redutor</t>
      </text>
    </comment>
  </commentList>
</comments>
</file>

<file path=xl/sharedStrings.xml><?xml version="1.0" encoding="utf-8"?>
<sst xmlns="http://schemas.openxmlformats.org/spreadsheetml/2006/main" count="1022" uniqueCount="472">
  <si>
    <t>IBOVESPA</t>
  </si>
  <si>
    <t>Em Leilão&gt;</t>
  </si>
  <si>
    <t>IBOV</t>
  </si>
  <si>
    <t>ACELERADOR</t>
  </si>
  <si>
    <t>$Leil</t>
  </si>
  <si>
    <t>Maiores</t>
  </si>
  <si>
    <t>Altas</t>
  </si>
  <si>
    <t>Quedas</t>
  </si>
  <si>
    <t>WINFUT</t>
  </si>
  <si>
    <t>JUSTO</t>
  </si>
  <si>
    <t>Distorção</t>
  </si>
  <si>
    <t>Calibragem Rolagem</t>
  </si>
  <si>
    <t>ALTAS</t>
  </si>
  <si>
    <t>BAIXAS</t>
  </si>
  <si>
    <t>FORÇA</t>
  </si>
  <si>
    <t>Dashboard criado por Gilberto Coelho - Gibex</t>
  </si>
  <si>
    <t>Pode baixar em WWW.GIBEX.COM.BR</t>
  </si>
  <si>
    <t>Tem um vídeo explicando como usar e atualizar</t>
  </si>
  <si>
    <t>Vídeo</t>
  </si>
  <si>
    <t>Gestão de Risco</t>
  </si>
  <si>
    <t>Entrada</t>
  </si>
  <si>
    <t>Stop</t>
  </si>
  <si>
    <t>ALVO -aut</t>
  </si>
  <si>
    <t>QTD -aut</t>
  </si>
  <si>
    <t>Win</t>
  </si>
  <si>
    <t>Wdo</t>
  </si>
  <si>
    <t>PETR4</t>
  </si>
  <si>
    <t>PRIO3</t>
  </si>
  <si>
    <t>ITUB4</t>
  </si>
  <si>
    <t>CVCB3</t>
  </si>
  <si>
    <t>Sugestão de reentrada mais 2 vezes em caso de STOP e voltar no preço de entrada.</t>
  </si>
  <si>
    <t>NOVO JUSTO</t>
  </si>
  <si>
    <t>Índice Ibovespa - Ibovespa - Composição da carteira | B3</t>
  </si>
  <si>
    <t>Colar tabela Ibovespa</t>
  </si>
  <si>
    <t>Calcular IBOV por Fechamento / Leilão e Ult</t>
  </si>
  <si>
    <t>Ver dias úteis do FUT e feriados</t>
  </si>
  <si>
    <t>Ver calibragem * rolagem*</t>
  </si>
  <si>
    <t>Criar celula distorção Viés alta ou baixa com pontos para o justo</t>
  </si>
  <si>
    <t>Calcular Força ( altas / Baixas)</t>
  </si>
  <si>
    <t>Criar Acelerador e informe de forte, fraco , rali de alta ou de baixa.</t>
  </si>
  <si>
    <t>Baixas</t>
  </si>
  <si>
    <t>força</t>
  </si>
  <si>
    <t>IBOV - PROFIT</t>
  </si>
  <si>
    <t>SOMA ( QTD teoricas*preço)/redutor)</t>
  </si>
  <si>
    <t>Força</t>
  </si>
  <si>
    <t>Acelerador</t>
  </si>
  <si>
    <t>JUSTO =</t>
  </si>
  <si>
    <t>IBOV + TAXA DA ROLAGEM PRO RATA</t>
  </si>
  <si>
    <t>Ações</t>
  </si>
  <si>
    <t>JUSTO WIN</t>
  </si>
  <si>
    <t>FEC</t>
  </si>
  <si>
    <t>ULT</t>
  </si>
  <si>
    <t>PRT</t>
  </si>
  <si>
    <t>SE</t>
  </si>
  <si>
    <t>IBOV CALCULADO</t>
  </si>
  <si>
    <t>VAR%</t>
  </si>
  <si>
    <t>Ordem</t>
  </si>
  <si>
    <t>#num</t>
  </si>
  <si>
    <t>Ativo</t>
  </si>
  <si>
    <t>Maior</t>
  </si>
  <si>
    <t>Se leilao</t>
  </si>
  <si>
    <t>Menor</t>
  </si>
  <si>
    <t>ROLAGEM</t>
  </si>
  <si>
    <t>data inicio</t>
  </si>
  <si>
    <t>ABE</t>
  </si>
  <si>
    <t>MAX</t>
  </si>
  <si>
    <t>MIN</t>
  </si>
  <si>
    <t>Código</t>
  </si>
  <si>
    <t>Ação</t>
  </si>
  <si>
    <t>Tipo</t>
  </si>
  <si>
    <t>Qtde. Teórica</t>
  </si>
  <si>
    <t>Part. (%)</t>
  </si>
  <si>
    <t>FECHAMENTO</t>
  </si>
  <si>
    <t>última</t>
  </si>
  <si>
    <t>Valor do Leilão</t>
  </si>
  <si>
    <t>Hoje</t>
  </si>
  <si>
    <t>Final</t>
  </si>
  <si>
    <t>Asset</t>
  </si>
  <si>
    <t>Data</t>
  </si>
  <si>
    <t>Hora</t>
  </si>
  <si>
    <t>Último</t>
  </si>
  <si>
    <t>Abertura</t>
  </si>
  <si>
    <t>Máximo</t>
  </si>
  <si>
    <t>Mínimo</t>
  </si>
  <si>
    <t>Fechamento Anterior</t>
  </si>
  <si>
    <t>Strike</t>
  </si>
  <si>
    <t>Variação</t>
  </si>
  <si>
    <t>Variação(pts)</t>
  </si>
  <si>
    <t>Média</t>
  </si>
  <si>
    <t>Nome do Ativo</t>
  </si>
  <si>
    <t>Negócios</t>
  </si>
  <si>
    <t>QUL</t>
  </si>
  <si>
    <t>Quantidade</t>
  </si>
  <si>
    <t>Volume</t>
  </si>
  <si>
    <t>Of. Compra</t>
  </si>
  <si>
    <t>Of. Venda</t>
  </si>
  <si>
    <t>VOC</t>
  </si>
  <si>
    <t>VOV</t>
  </si>
  <si>
    <t>Ajuste</t>
  </si>
  <si>
    <t>Aj. Anterior</t>
  </si>
  <si>
    <t>Preço Teórico</t>
  </si>
  <si>
    <t>Qtd. Teórica</t>
  </si>
  <si>
    <t>Volume Projetado</t>
  </si>
  <si>
    <t>Semana</t>
  </si>
  <si>
    <t>Mês</t>
  </si>
  <si>
    <t>3 meses</t>
  </si>
  <si>
    <t>6 meses</t>
  </si>
  <si>
    <t>12 meses</t>
  </si>
  <si>
    <t>Ano</t>
  </si>
  <si>
    <t>Trimestre</t>
  </si>
  <si>
    <t>Semestre</t>
  </si>
  <si>
    <t>Vencimento</t>
  </si>
  <si>
    <t>Validade</t>
  </si>
  <si>
    <t>Cont. Abertos</t>
  </si>
  <si>
    <t>Estado Atual</t>
  </si>
  <si>
    <t>Black Scholes</t>
  </si>
  <si>
    <t>Volt. Implícita</t>
  </si>
  <si>
    <t>Delta</t>
  </si>
  <si>
    <t>Gama</t>
  </si>
  <si>
    <t>Theta</t>
  </si>
  <si>
    <t>Rho</t>
  </si>
  <si>
    <t>Vega</t>
  </si>
  <si>
    <t>VI Ask</t>
  </si>
  <si>
    <t>VI Bid</t>
  </si>
  <si>
    <t>Dobrar %</t>
  </si>
  <si>
    <t>VI / VH</t>
  </si>
  <si>
    <t>Valor Intrínseco</t>
  </si>
  <si>
    <t>Valor Extrínseco</t>
  </si>
  <si>
    <t>ALOS3</t>
  </si>
  <si>
    <t>ALLOS</t>
  </si>
  <si>
    <t>ON  ED  NM</t>
  </si>
  <si>
    <t>VENCIMENTO</t>
  </si>
  <si>
    <t>Ibovespa</t>
  </si>
  <si>
    <t>ABEV3</t>
  </si>
  <si>
    <t>AMBEV S/A</t>
  </si>
  <si>
    <t>ON</t>
  </si>
  <si>
    <t>DU</t>
  </si>
  <si>
    <t>ROL PRORATA</t>
  </si>
  <si>
    <t>ECOR3</t>
  </si>
  <si>
    <t>Ecorodovias ON NM</t>
  </si>
  <si>
    <t>ASAI3</t>
  </si>
  <si>
    <t>ASSAI</t>
  </si>
  <si>
    <t>ON      NM</t>
  </si>
  <si>
    <t>Feriados 2025</t>
  </si>
  <si>
    <t>CIEL3</t>
  </si>
  <si>
    <t>Cielo ON NM</t>
  </si>
  <si>
    <t>AURE3</t>
  </si>
  <si>
    <t>AUREN</t>
  </si>
  <si>
    <t>VIVT3</t>
  </si>
  <si>
    <t>Telef Brasil ON</t>
  </si>
  <si>
    <t>AZZA3</t>
  </si>
  <si>
    <t>AZZAS 2154</t>
  </si>
  <si>
    <t>CSNA3</t>
  </si>
  <si>
    <t>Sid Nacional ON</t>
  </si>
  <si>
    <t>B3SA3</t>
  </si>
  <si>
    <t>B3</t>
  </si>
  <si>
    <t>Petrobras PN N2</t>
  </si>
  <si>
    <t>BBSE3</t>
  </si>
  <si>
    <t>BBSEGURIDADE</t>
  </si>
  <si>
    <t>VALE3</t>
  </si>
  <si>
    <t>Vale ON NM</t>
  </si>
  <si>
    <t>BBDC3</t>
  </si>
  <si>
    <t>BRADESCO</t>
  </si>
  <si>
    <t>ON      N1</t>
  </si>
  <si>
    <t>GGBR4</t>
  </si>
  <si>
    <t>Gerdau PN EB N1</t>
  </si>
  <si>
    <t>BBDC4</t>
  </si>
  <si>
    <t>PN      N1</t>
  </si>
  <si>
    <t>BBAS3</t>
  </si>
  <si>
    <t>Brasil ON EB NM</t>
  </si>
  <si>
    <t>BRAP4</t>
  </si>
  <si>
    <t>BRADESPAR</t>
  </si>
  <si>
    <t>DOLFUT</t>
  </si>
  <si>
    <t>Dolar Comercial Futuro</t>
  </si>
  <si>
    <t>BRASIL</t>
  </si>
  <si>
    <t>DOLPT</t>
  </si>
  <si>
    <t>Dolar Ptax</t>
  </si>
  <si>
    <t>BRKM5</t>
  </si>
  <si>
    <t>BRASKEM</t>
  </si>
  <si>
    <t>PNA     N1</t>
  </si>
  <si>
    <t>INDFUT</t>
  </si>
  <si>
    <t>Indice Bovespa</t>
  </si>
  <si>
    <t>BRAV3</t>
  </si>
  <si>
    <t>BRAVA</t>
  </si>
  <si>
    <t>MRVE3</t>
  </si>
  <si>
    <t>Mrv ON NM</t>
  </si>
  <si>
    <t>BRFS3</t>
  </si>
  <si>
    <t>BRF SA</t>
  </si>
  <si>
    <t>GOAU4</t>
  </si>
  <si>
    <t>Gerdau Met PN N1</t>
  </si>
  <si>
    <t>BPAC11</t>
  </si>
  <si>
    <t>BTGP BANCO</t>
  </si>
  <si>
    <t>UNT     N2</t>
  </si>
  <si>
    <t>Ambev S/A ON</t>
  </si>
  <si>
    <t>CXSE3</t>
  </si>
  <si>
    <t>CAIXA SEGURI</t>
  </si>
  <si>
    <t>B3 ON NM</t>
  </si>
  <si>
    <t>CMIG4</t>
  </si>
  <si>
    <t>CEMIG</t>
  </si>
  <si>
    <t>GFSA3</t>
  </si>
  <si>
    <t>Gafisa ON NM</t>
  </si>
  <si>
    <t>COGN3</t>
  </si>
  <si>
    <t>COGNA ON</t>
  </si>
  <si>
    <t>Cemig PN N1</t>
  </si>
  <si>
    <t>CPLE6</t>
  </si>
  <si>
    <t>COPEL</t>
  </si>
  <si>
    <t>PNB     N2</t>
  </si>
  <si>
    <t>RENT3</t>
  </si>
  <si>
    <t>Localiza ON NM</t>
  </si>
  <si>
    <t>CSAN3</t>
  </si>
  <si>
    <t>COSAN</t>
  </si>
  <si>
    <t>SUZB3</t>
  </si>
  <si>
    <t>Suzano S.A. ON NM</t>
  </si>
  <si>
    <t>CPFE3</t>
  </si>
  <si>
    <t>CPFL ENERGIA</t>
  </si>
  <si>
    <t>EMBR3</t>
  </si>
  <si>
    <t>Embraer ON NM</t>
  </si>
  <si>
    <t>CMIN3</t>
  </si>
  <si>
    <t>CSNMINERACAO</t>
  </si>
  <si>
    <t>ON      N2</t>
  </si>
  <si>
    <t>Bradesco PN N1</t>
  </si>
  <si>
    <t>CVC BRASIL</t>
  </si>
  <si>
    <t>CYRE3</t>
  </si>
  <si>
    <t>Cyrela Realt ON NM</t>
  </si>
  <si>
    <t>CYRELA REALT</t>
  </si>
  <si>
    <t>USIM5</t>
  </si>
  <si>
    <t>Usiminas PNA N1</t>
  </si>
  <si>
    <t>DIRR3</t>
  </si>
  <si>
    <t>DIRECIONAL</t>
  </si>
  <si>
    <t>Bradespar PN N1</t>
  </si>
  <si>
    <t>ELET3</t>
  </si>
  <si>
    <t>ELETROBRAS</t>
  </si>
  <si>
    <t>ITSA4</t>
  </si>
  <si>
    <t>Itausa PN N1</t>
  </si>
  <si>
    <t>ELET6</t>
  </si>
  <si>
    <t>PNB     N1</t>
  </si>
  <si>
    <t>Itauunibanco PN N1</t>
  </si>
  <si>
    <t>EMBRAER</t>
  </si>
  <si>
    <t>Brf Sa ON NM</t>
  </si>
  <si>
    <t>ENGI11</t>
  </si>
  <si>
    <t>ENERGISA</t>
  </si>
  <si>
    <t>LREN3</t>
  </si>
  <si>
    <t>Lojas Renner ON NM</t>
  </si>
  <si>
    <t>ENEV3</t>
  </si>
  <si>
    <t>ENEVA</t>
  </si>
  <si>
    <t>MGLU3</t>
  </si>
  <si>
    <t>Magaz Luiza ON NM</t>
  </si>
  <si>
    <t>EGIE3</t>
  </si>
  <si>
    <t>ENGIE BRASIL</t>
  </si>
  <si>
    <t>Ibovespa Mini</t>
  </si>
  <si>
    <t>EQTL3</t>
  </si>
  <si>
    <t>EQUATORIAL</t>
  </si>
  <si>
    <t>WDOFUT</t>
  </si>
  <si>
    <t>Dolar Mini</t>
  </si>
  <si>
    <t>FLRY3</t>
  </si>
  <si>
    <t>FLEURY</t>
  </si>
  <si>
    <t>WINJ24</t>
  </si>
  <si>
    <t>GERDAU</t>
  </si>
  <si>
    <t>WDOK24</t>
  </si>
  <si>
    <t>GERDAU MET</t>
  </si>
  <si>
    <t>WINM24</t>
  </si>
  <si>
    <t>HAPV3</t>
  </si>
  <si>
    <t>HAPVIDA</t>
  </si>
  <si>
    <t>WINQ24</t>
  </si>
  <si>
    <t>HYPE3</t>
  </si>
  <si>
    <t>HYPERA</t>
  </si>
  <si>
    <t>WING24</t>
  </si>
  <si>
    <t>IGTI11</t>
  </si>
  <si>
    <t>IGUATEMI S.A</t>
  </si>
  <si>
    <t>UNT     N1</t>
  </si>
  <si>
    <t>WINZ24</t>
  </si>
  <si>
    <t>IRBR3</t>
  </si>
  <si>
    <t>IRBBRASIL RE</t>
  </si>
  <si>
    <t>WINV24</t>
  </si>
  <si>
    <t>ISAE4</t>
  </si>
  <si>
    <t>ISA ENERGIA</t>
  </si>
  <si>
    <t>INDM24</t>
  </si>
  <si>
    <t>ITAUSA</t>
  </si>
  <si>
    <t>PN  EJ  N1</t>
  </si>
  <si>
    <t>DOLPRO</t>
  </si>
  <si>
    <t>Dolar Comercial Agregado (DOL + WDO)</t>
  </si>
  <si>
    <t>ITAUUNIBANCO</t>
  </si>
  <si>
    <t>WDOFUTV</t>
  </si>
  <si>
    <t>KLBN11</t>
  </si>
  <si>
    <t>KLABIN S/A</t>
  </si>
  <si>
    <t>IFIX</t>
  </si>
  <si>
    <t>Ind Fdo Imob</t>
  </si>
  <si>
    <t>LOCALIZA</t>
  </si>
  <si>
    <t>WDOM24</t>
  </si>
  <si>
    <t>LOJAS RENNER</t>
  </si>
  <si>
    <t>WDON24</t>
  </si>
  <si>
    <t>MAGAZ LUIZA</t>
  </si>
  <si>
    <t>WDOJ24</t>
  </si>
  <si>
    <t>POMO4</t>
  </si>
  <si>
    <t>MARCOPOLO</t>
  </si>
  <si>
    <t>WDOH24</t>
  </si>
  <si>
    <t>MRFG3</t>
  </si>
  <si>
    <t>MARFRIG</t>
  </si>
  <si>
    <t>WDOG24</t>
  </si>
  <si>
    <t>BEEF3</t>
  </si>
  <si>
    <t>MINERVA</t>
  </si>
  <si>
    <t>ON  ATZ NM</t>
  </si>
  <si>
    <t>WDOQ24</t>
  </si>
  <si>
    <t>MOTV3</t>
  </si>
  <si>
    <t>MOTIVA SA</t>
  </si>
  <si>
    <t>WDOU24</t>
  </si>
  <si>
    <t>MRV</t>
  </si>
  <si>
    <t>WDOX24</t>
  </si>
  <si>
    <t>MULT3</t>
  </si>
  <si>
    <t>MULTIPLAN</t>
  </si>
  <si>
    <t>WDOV24</t>
  </si>
  <si>
    <t>NATU3</t>
  </si>
  <si>
    <t>NATURA</t>
  </si>
  <si>
    <t>HBSA3</t>
  </si>
  <si>
    <t>Hidrovias ON NM</t>
  </si>
  <si>
    <t>PCAR3</t>
  </si>
  <si>
    <t>P.ACUCAR-CBD</t>
  </si>
  <si>
    <t>GMAT3</t>
  </si>
  <si>
    <t>Grupo Mateus ON NM</t>
  </si>
  <si>
    <t>PETR3</t>
  </si>
  <si>
    <t>PETROBRAS</t>
  </si>
  <si>
    <t>RAIL3</t>
  </si>
  <si>
    <t>Rumo S.A. ON NM</t>
  </si>
  <si>
    <t>Assai ON NM</t>
  </si>
  <si>
    <t>RECV3</t>
  </si>
  <si>
    <t>PETRORECSA</t>
  </si>
  <si>
    <t>Cosan ON NM</t>
  </si>
  <si>
    <t>PETRORIO</t>
  </si>
  <si>
    <t>CRFB3</t>
  </si>
  <si>
    <t>Carrefour Br ON NM</t>
  </si>
  <si>
    <t>PETZ3</t>
  </si>
  <si>
    <t>PETZ</t>
  </si>
  <si>
    <t>JBSS3</t>
  </si>
  <si>
    <t>Jbs ON NM</t>
  </si>
  <si>
    <t>PSSA3</t>
  </si>
  <si>
    <t>PORTO SEGURO</t>
  </si>
  <si>
    <t>RCSL3</t>
  </si>
  <si>
    <t>Recrusul ON</t>
  </si>
  <si>
    <t>RADL3</t>
  </si>
  <si>
    <t>RAIADROGASIL</t>
  </si>
  <si>
    <t>SMTO3</t>
  </si>
  <si>
    <t>Sao Martinho ON NM</t>
  </si>
  <si>
    <t>RAIZ4</t>
  </si>
  <si>
    <t>RAIZEN</t>
  </si>
  <si>
    <t>Minerva ON NM</t>
  </si>
  <si>
    <t>RDOR3</t>
  </si>
  <si>
    <t>REDE D OR</t>
  </si>
  <si>
    <t>Marfrig ON NM</t>
  </si>
  <si>
    <t>RUMO S.A.</t>
  </si>
  <si>
    <t>JALL3</t>
  </si>
  <si>
    <t>Jallesmachad ON NM</t>
  </si>
  <si>
    <t>SBSP3</t>
  </si>
  <si>
    <t>SABESP</t>
  </si>
  <si>
    <t>P.Acucar-Cbd ON NM</t>
  </si>
  <si>
    <t>SANB11</t>
  </si>
  <si>
    <t>SANTANDER BR</t>
  </si>
  <si>
    <t>UNT</t>
  </si>
  <si>
    <t>AGRO3</t>
  </si>
  <si>
    <t>Brasilagro ON NM</t>
  </si>
  <si>
    <t>ARZZ3</t>
  </si>
  <si>
    <t>Arezzo Co ON NM</t>
  </si>
  <si>
    <t>SAO MARTINHO</t>
  </si>
  <si>
    <t>KEPL3</t>
  </si>
  <si>
    <t>Kepler Weber ON NM</t>
  </si>
  <si>
    <t>SID NACIONAL</t>
  </si>
  <si>
    <t>VAMO3</t>
  </si>
  <si>
    <t>Vamos ON NM</t>
  </si>
  <si>
    <t>SLCE3</t>
  </si>
  <si>
    <t>SLC AGRICOLA</t>
  </si>
  <si>
    <t>DXCO3</t>
  </si>
  <si>
    <t>Dexco ON NM</t>
  </si>
  <si>
    <t>SMFT3</t>
  </si>
  <si>
    <t>SMART FIT</t>
  </si>
  <si>
    <t>RAPT4</t>
  </si>
  <si>
    <t>Randon Part PN N1</t>
  </si>
  <si>
    <t>SUZANO S.A.</t>
  </si>
  <si>
    <t>Raizen PN N2</t>
  </si>
  <si>
    <t>TAEE11</t>
  </si>
  <si>
    <t>TAESA</t>
  </si>
  <si>
    <t>MDIA3</t>
  </si>
  <si>
    <t>M.Diasbranco ON NM</t>
  </si>
  <si>
    <t>TELEF BRASIL</t>
  </si>
  <si>
    <t>ON  EJ</t>
  </si>
  <si>
    <t>Slc Agricola ON NM</t>
  </si>
  <si>
    <t>TIMS3</t>
  </si>
  <si>
    <t>TIM</t>
  </si>
  <si>
    <t>ARML3</t>
  </si>
  <si>
    <t>Armac ON NM</t>
  </si>
  <si>
    <t>TOTS3</t>
  </si>
  <si>
    <t>TOTVS</t>
  </si>
  <si>
    <t>TUPY3</t>
  </si>
  <si>
    <t>Tupy ON NM</t>
  </si>
  <si>
    <t>UGPA3</t>
  </si>
  <si>
    <t>ULTRAPAR</t>
  </si>
  <si>
    <t>Klabin S/A UNT N2</t>
  </si>
  <si>
    <t>USIMINAS</t>
  </si>
  <si>
    <t>CAML3</t>
  </si>
  <si>
    <t>Camil ON NM</t>
  </si>
  <si>
    <t>VALE</t>
  </si>
  <si>
    <t>TTEN3</t>
  </si>
  <si>
    <t>3tentos ON NM</t>
  </si>
  <si>
    <t>VAMOS</t>
  </si>
  <si>
    <t>RANI3</t>
  </si>
  <si>
    <t>Irani ON NM</t>
  </si>
  <si>
    <t>VBBR3</t>
  </si>
  <si>
    <t>VIBRA</t>
  </si>
  <si>
    <t>VIVA3</t>
  </si>
  <si>
    <t>VIVARA S.A.</t>
  </si>
  <si>
    <t>WEGE3</t>
  </si>
  <si>
    <t>WEG</t>
  </si>
  <si>
    <t>YDUQ3</t>
  </si>
  <si>
    <t>YDUQS PART</t>
  </si>
  <si>
    <t>Quantidade Teórica Total</t>
  </si>
  <si>
    <t>Redutor</t>
  </si>
  <si>
    <t>Alterações</t>
  </si>
  <si>
    <t>''</t>
  </si>
  <si>
    <t>RRRP3</t>
  </si>
  <si>
    <t>3R PETROLEUM</t>
  </si>
  <si>
    <t>ALPA4</t>
  </si>
  <si>
    <t>ALPARGATAS</t>
  </si>
  <si>
    <t>AREZZO CO</t>
  </si>
  <si>
    <t>AZUL4</t>
  </si>
  <si>
    <t>AZUL</t>
  </si>
  <si>
    <t>PN      N2</t>
  </si>
  <si>
    <t>ON  EJ  N1</t>
  </si>
  <si>
    <t>PN  ED  N1</t>
  </si>
  <si>
    <t>CARREFOUR BR</t>
  </si>
  <si>
    <t>CCRO3</t>
  </si>
  <si>
    <t>CCR SA</t>
  </si>
  <si>
    <t>PN  EDB N1</t>
  </si>
  <si>
    <t>CIELO</t>
  </si>
  <si>
    <t>PNB ED  N2</t>
  </si>
  <si>
    <t>DEXCO</t>
  </si>
  <si>
    <t>ON  ED  N1</t>
  </si>
  <si>
    <t>PNB ED  N1</t>
  </si>
  <si>
    <t>ON  EDS NM</t>
  </si>
  <si>
    <t>EZTC3</t>
  </si>
  <si>
    <t>EZTEC</t>
  </si>
  <si>
    <t>NTCO3</t>
  </si>
  <si>
    <t>GRUPO NATURA</t>
  </si>
  <si>
    <t>SOMA3</t>
  </si>
  <si>
    <t>GRUPO SOMA</t>
  </si>
  <si>
    <t>ON  EJ  NM</t>
  </si>
  <si>
    <t>JBS</t>
  </si>
  <si>
    <t>LWSA3</t>
  </si>
  <si>
    <t>LWSA</t>
  </si>
  <si>
    <t>ON  EDR N2</t>
  </si>
  <si>
    <t>PN  EDR N2</t>
  </si>
  <si>
    <t>TRPL4</t>
  </si>
  <si>
    <t>TRAN PAULIST</t>
  </si>
  <si>
    <t>PNA ED  N1</t>
  </si>
  <si>
    <t>Cielo ON</t>
  </si>
  <si>
    <t>Gerdau PN N1</t>
  </si>
  <si>
    <t>Brasil ON NM</t>
  </si>
  <si>
    <t>Bradesco PN EJ N1</t>
  </si>
  <si>
    <t>Itausa PN EJ N1</t>
  </si>
  <si>
    <t>Itauunibanco PN EJ N1</t>
  </si>
  <si>
    <t>Camil ON EDJ NM</t>
  </si>
  <si>
    <t>winfut</t>
  </si>
  <si>
    <t>CEAB3</t>
  </si>
  <si>
    <t>CEA MODAS</t>
  </si>
  <si>
    <t>CURY3</t>
  </si>
  <si>
    <t>CURY S/A</t>
  </si>
  <si>
    <t>IBOV - Carteira do Dia 16/09/25</t>
  </si>
  <si>
    <t>MBRF3</t>
  </si>
  <si>
    <t>RANI4</t>
  </si>
  <si>
    <t>RANI5</t>
  </si>
  <si>
    <t>RANI6</t>
  </si>
  <si>
    <t>RANI7</t>
  </si>
  <si>
    <t>RANI8</t>
  </si>
  <si>
    <t>RANI9</t>
  </si>
  <si>
    <t>RANI10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</si>
</sst>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d/m/yy;@"/>
    <numFmt numFmtId="167" formatCode="0.0"/>
    <numFmt numFmtId="168" formatCode="#,##0_ ;[Red]\-#,##0\ "/>
  </numFmts>
  <fonts count="2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12"/>
      <color rgb="FFFFC000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2"/>
      <color rgb="FFFFC000"/>
      <name val="Aptos Narrow"/>
      <family val="2"/>
      <scheme val="minor"/>
    </font>
    <font>
      <sz val="10"/>
      <color rgb="FFFFC000"/>
      <name val="Aptos Narrow"/>
      <family val="2"/>
      <scheme val="minor"/>
    </font>
    <font>
      <b/>
      <sz val="20"/>
      <color rgb="FFFFFF00"/>
      <name val="Aptos Narrow"/>
      <family val="2"/>
      <scheme val="minor"/>
    </font>
    <font>
      <i/>
      <sz val="12"/>
      <color rgb="FFFFC000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4" tint="0.59999389629810485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FFC000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color theme="4" tint="0.59999389629810485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u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medium">
        <color indexed="64"/>
      </left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medium">
        <color indexed="64"/>
      </left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/>
      <top/>
      <bottom style="thin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C00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0" fillId="2" borderId="0" xfId="0" applyFill="1"/>
    <xf numFmtId="2" fontId="0" fillId="0" borderId="0" xfId="0" applyNumberFormat="1" applyAlignment="1">
      <alignment horizontal="center"/>
    </xf>
    <xf numFmtId="0" fontId="0" fillId="3" borderId="0" xfId="0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/>
    <xf numFmtId="0" fontId="4" fillId="5" borderId="0" xfId="0" applyFont="1" applyFill="1"/>
    <xf numFmtId="0" fontId="0" fillId="5" borderId="0" xfId="0" applyFill="1"/>
    <xf numFmtId="10" fontId="0" fillId="0" borderId="0" xfId="3" applyNumberFormat="1" applyFont="1"/>
    <xf numFmtId="0" fontId="5" fillId="6" borderId="0" xfId="0" applyFont="1" applyFill="1"/>
    <xf numFmtId="10" fontId="5" fillId="6" borderId="0" xfId="0" applyNumberFormat="1" applyFont="1" applyFill="1"/>
    <xf numFmtId="0" fontId="0" fillId="6" borderId="0" xfId="0" applyFill="1"/>
    <xf numFmtId="9" fontId="0" fillId="6" borderId="0" xfId="3" applyFont="1" applyFill="1"/>
    <xf numFmtId="0" fontId="0" fillId="7" borderId="0" xfId="0" applyFill="1"/>
    <xf numFmtId="0" fontId="0" fillId="8" borderId="0" xfId="0" applyFill="1"/>
    <xf numFmtId="10" fontId="0" fillId="0" borderId="0" xfId="0" applyNumberFormat="1"/>
    <xf numFmtId="0" fontId="7" fillId="9" borderId="0" xfId="0" applyFont="1" applyFill="1"/>
    <xf numFmtId="0" fontId="9" fillId="9" borderId="0" xfId="0" applyFont="1" applyFill="1"/>
    <xf numFmtId="21" fontId="10" fillId="10" borderId="0" xfId="0" applyNumberFormat="1" applyFont="1" applyFill="1" applyAlignment="1">
      <alignment horizontal="center"/>
    </xf>
    <xf numFmtId="0" fontId="6" fillId="11" borderId="0" xfId="0" applyFont="1" applyFill="1"/>
    <xf numFmtId="43" fontId="6" fillId="11" borderId="0" xfId="0" applyNumberFormat="1" applyFont="1" applyFill="1"/>
    <xf numFmtId="10" fontId="11" fillId="11" borderId="0" xfId="3" applyNumberFormat="1" applyFont="1" applyFill="1" applyBorder="1"/>
    <xf numFmtId="0" fontId="0" fillId="0" borderId="0" xfId="0" quotePrefix="1"/>
    <xf numFmtId="0" fontId="0" fillId="9" borderId="0" xfId="0" applyFill="1"/>
    <xf numFmtId="0" fontId="13" fillId="9" borderId="0" xfId="0" applyFont="1" applyFill="1"/>
    <xf numFmtId="10" fontId="9" fillId="9" borderId="0" xfId="0" applyNumberFormat="1" applyFont="1" applyFill="1" applyAlignment="1">
      <alignment horizontal="center"/>
    </xf>
    <xf numFmtId="14" fontId="0" fillId="2" borderId="0" xfId="0" applyNumberFormat="1" applyFill="1"/>
    <xf numFmtId="0" fontId="8" fillId="9" borderId="1" xfId="0" applyFont="1" applyFill="1" applyBorder="1"/>
    <xf numFmtId="164" fontId="8" fillId="9" borderId="2" xfId="2" applyNumberFormat="1" applyFont="1" applyFill="1" applyBorder="1"/>
    <xf numFmtId="0" fontId="15" fillId="9" borderId="3" xfId="0" applyFont="1" applyFill="1" applyBorder="1"/>
    <xf numFmtId="164" fontId="15" fillId="9" borderId="4" xfId="2" applyNumberFormat="1" applyFont="1" applyFill="1" applyBorder="1"/>
    <xf numFmtId="2" fontId="0" fillId="2" borderId="0" xfId="0" applyNumberFormat="1" applyFill="1"/>
    <xf numFmtId="166" fontId="0" fillId="2" borderId="0" xfId="0" applyNumberFormat="1" applyFill="1"/>
    <xf numFmtId="0" fontId="0" fillId="12" borderId="0" xfId="0" applyFill="1"/>
    <xf numFmtId="0" fontId="0" fillId="12" borderId="16" xfId="0" applyFill="1" applyBorder="1" applyAlignment="1">
      <alignment horizontal="center"/>
    </xf>
    <xf numFmtId="167" fontId="0" fillId="12" borderId="16" xfId="0" applyNumberForma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7" fontId="0" fillId="3" borderId="16" xfId="0" applyNumberFormat="1" applyFill="1" applyBorder="1" applyAlignment="1">
      <alignment horizontal="center"/>
    </xf>
    <xf numFmtId="0" fontId="0" fillId="13" borderId="0" xfId="0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2" fontId="0" fillId="13" borderId="0" xfId="0" applyNumberFormat="1" applyFill="1"/>
    <xf numFmtId="14" fontId="0" fillId="13" borderId="0" xfId="0" applyNumberFormat="1" applyFill="1"/>
    <xf numFmtId="0" fontId="0" fillId="13" borderId="15" xfId="0" applyFill="1" applyBorder="1" applyAlignment="1">
      <alignment horizontal="center"/>
    </xf>
    <xf numFmtId="2" fontId="20" fillId="13" borderId="10" xfId="0" applyNumberFormat="1" applyFont="1" applyFill="1" applyBorder="1" applyAlignment="1">
      <alignment horizontal="center"/>
    </xf>
    <xf numFmtId="10" fontId="19" fillId="13" borderId="3" xfId="0" applyNumberFormat="1" applyFont="1" applyFill="1" applyBorder="1" applyAlignment="1">
      <alignment horizontal="center"/>
    </xf>
    <xf numFmtId="10" fontId="19" fillId="13" borderId="11" xfId="0" applyNumberFormat="1" applyFont="1" applyFill="1" applyBorder="1" applyAlignment="1">
      <alignment horizontal="center"/>
    </xf>
    <xf numFmtId="2" fontId="20" fillId="13" borderId="0" xfId="0" applyNumberFormat="1" applyFont="1" applyFill="1" applyAlignment="1">
      <alignment horizontal="center"/>
    </xf>
    <xf numFmtId="2" fontId="20" fillId="3" borderId="10" xfId="0" applyNumberFormat="1" applyFont="1" applyFill="1" applyBorder="1" applyAlignment="1">
      <alignment horizontal="center"/>
    </xf>
    <xf numFmtId="10" fontId="19" fillId="3" borderId="3" xfId="0" applyNumberFormat="1" applyFont="1" applyFill="1" applyBorder="1" applyAlignment="1">
      <alignment horizontal="center"/>
    </xf>
    <xf numFmtId="10" fontId="19" fillId="3" borderId="11" xfId="0" applyNumberFormat="1" applyFont="1" applyFill="1" applyBorder="1" applyAlignment="1">
      <alignment horizontal="center"/>
    </xf>
    <xf numFmtId="2" fontId="20" fillId="3" borderId="0" xfId="0" applyNumberFormat="1" applyFont="1" applyFill="1" applyAlignment="1">
      <alignment horizontal="center"/>
    </xf>
    <xf numFmtId="2" fontId="20" fillId="3" borderId="18" xfId="0" applyNumberFormat="1" applyFont="1" applyFill="1" applyBorder="1" applyAlignment="1">
      <alignment horizontal="center"/>
    </xf>
    <xf numFmtId="10" fontId="19" fillId="3" borderId="12" xfId="0" applyNumberFormat="1" applyFont="1" applyFill="1" applyBorder="1" applyAlignment="1">
      <alignment horizontal="center"/>
    </xf>
    <xf numFmtId="10" fontId="19" fillId="3" borderId="13" xfId="0" applyNumberFormat="1" applyFont="1" applyFill="1" applyBorder="1" applyAlignment="1">
      <alignment horizontal="center"/>
    </xf>
    <xf numFmtId="2" fontId="20" fillId="3" borderId="14" xfId="0" applyNumberFormat="1" applyFont="1" applyFill="1" applyBorder="1" applyAlignment="1">
      <alignment horizontal="center"/>
    </xf>
    <xf numFmtId="0" fontId="21" fillId="3" borderId="0" xfId="0" applyFont="1" applyFill="1"/>
    <xf numFmtId="0" fontId="12" fillId="3" borderId="0" xfId="0" applyFont="1" applyFill="1" applyAlignment="1">
      <alignment horizontal="center"/>
    </xf>
    <xf numFmtId="0" fontId="12" fillId="9" borderId="0" xfId="0" applyFont="1" applyFill="1"/>
    <xf numFmtId="0" fontId="22" fillId="3" borderId="5" xfId="0" applyFont="1" applyFill="1" applyBorder="1"/>
    <xf numFmtId="165" fontId="22" fillId="3" borderId="6" xfId="0" applyNumberFormat="1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18" fillId="9" borderId="7" xfId="0" applyFont="1" applyFill="1" applyBorder="1"/>
    <xf numFmtId="0" fontId="23" fillId="9" borderId="8" xfId="0" applyFont="1" applyFill="1" applyBorder="1" applyAlignment="1">
      <alignment horizontal="center"/>
    </xf>
    <xf numFmtId="0" fontId="23" fillId="9" borderId="9" xfId="0" applyFont="1" applyFill="1" applyBorder="1" applyAlignment="1">
      <alignment horizontal="center"/>
    </xf>
    <xf numFmtId="0" fontId="23" fillId="9" borderId="0" xfId="0" applyFont="1" applyFill="1" applyAlignment="1">
      <alignment horizontal="center"/>
    </xf>
    <xf numFmtId="0" fontId="24" fillId="11" borderId="0" xfId="0" applyFont="1" applyFill="1"/>
    <xf numFmtId="0" fontId="25" fillId="11" borderId="0" xfId="0" applyFont="1" applyFill="1" applyAlignment="1">
      <alignment horizontal="center"/>
    </xf>
    <xf numFmtId="2" fontId="0" fillId="3" borderId="17" xfId="0" applyNumberFormat="1" applyFill="1" applyBorder="1" applyAlignment="1">
      <alignment horizontal="center"/>
    </xf>
    <xf numFmtId="1" fontId="0" fillId="3" borderId="17" xfId="0" applyNumberForma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3" fontId="0" fillId="0" borderId="0" xfId="0" applyNumberFormat="1"/>
    <xf numFmtId="4" fontId="0" fillId="0" borderId="0" xfId="0" applyNumberFormat="1"/>
    <xf numFmtId="0" fontId="27" fillId="2" borderId="0" xfId="1" applyFont="1" applyFill="1"/>
    <xf numFmtId="3" fontId="0" fillId="2" borderId="0" xfId="0" applyNumberFormat="1" applyFill="1"/>
    <xf numFmtId="2" fontId="0" fillId="0" borderId="0" xfId="0" applyNumberFormat="1"/>
    <xf numFmtId="0" fontId="7" fillId="9" borderId="0" xfId="0" applyFont="1" applyFill="1" applyAlignment="1">
      <alignment horizontal="center"/>
    </xf>
    <xf numFmtId="168" fontId="26" fillId="3" borderId="6" xfId="2" applyNumberFormat="1" applyFont="1" applyFill="1" applyBorder="1" applyAlignment="1">
      <alignment horizontal="center"/>
    </xf>
    <xf numFmtId="9" fontId="0" fillId="3" borderId="0" xfId="0" applyNumberFormat="1" applyFill="1"/>
    <xf numFmtId="0" fontId="0" fillId="3" borderId="0" xfId="0" applyFill="1" applyAlignment="1">
      <alignment horizontal="center"/>
    </xf>
    <xf numFmtId="9" fontId="28" fillId="9" borderId="0" xfId="0" applyNumberFormat="1" applyFont="1" applyFill="1" applyAlignment="1">
      <alignment horizontal="center"/>
    </xf>
    <xf numFmtId="43" fontId="4" fillId="3" borderId="0" xfId="2" applyFont="1" applyFill="1" applyAlignment="1">
      <alignment horizontal="center"/>
    </xf>
    <xf numFmtId="0" fontId="0" fillId="4" borderId="0" xfId="0" applyFill="1" applyAlignment="1">
      <alignment horizontal="center"/>
    </xf>
    <xf numFmtId="43" fontId="4" fillId="5" borderId="0" xfId="0" applyNumberFormat="1" applyFont="1" applyFill="1" applyAlignment="1">
      <alignment horizontal="center"/>
    </xf>
    <xf numFmtId="43" fontId="0" fillId="2" borderId="0" xfId="2" applyFont="1" applyFill="1"/>
  </cellXfs>
  <cellStyles count="4">
    <cellStyle name="Hiperlink" xfId="1" builtinId="8"/>
    <cellStyle name="Normal" xfId="0" builtinId="0"/>
    <cellStyle name="Porcentagem" xfId="3" builtinId="5"/>
    <cellStyle name="Vírgula" xfId="2" builtinId="3"/>
  </cellStyles>
  <dxfs count="6">
    <dxf>
      <font>
        <color theme="1" tint="0.34998626667073579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C00000"/>
      </font>
    </dxf>
  </dxfs>
  <tableStyles count="1" defaultTableStyle="TableStyleMedium2" defaultPivotStyle="PivotStyleLight16">
    <tableStyle name="Invisible" pivot="0" table="0" count="0" xr9:uid="{6BE6DA15-571A-4451-89F0-E3F6BFD33DDB}"/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trading.rtdserver">
      <tp t="s">
        <v>-</v>
        <stp/>
        <stp>WDOFUT_F_0</stp>
        <stp>DELTA</stp>
        <tr r="CA37" s="2"/>
        <tr r="AQ35" s="5"/>
      </tp>
      <tp t="s">
        <v>-</v>
        <stp/>
        <stp>WDOFUTV_F_0</stp>
        <stp>BLACK</stp>
        <tr r="AO45" s="5"/>
        <tr r="BY47" s="2"/>
      </tp>
      <tp t="s">
        <v>-</v>
        <stp/>
        <stp>WINFUT_F_0</stp>
        <stp>BLACK</stp>
        <tr r="BY36" s="2"/>
        <tr r="AO34" s="5"/>
      </tp>
      <tp>
        <v>-1.9501000723409854</v>
        <stp/>
        <stp>WDOFUT_F_0</stp>
        <stp>SEMES</stp>
        <tr r="BT37" s="2"/>
        <tr r="AJ35" s="5"/>
      </tp>
      <tp t="s">
        <v>-</v>
        <stp/>
        <stp>DOLFUT_F_0</stp>
        <stp>THETA</stp>
        <tr r="CC15" s="2"/>
        <tr r="AS13" s="5"/>
      </tp>
      <tp>
        <v>-7.3260424897172562</v>
        <stp/>
        <stp>B3SA3_B_0</stp>
        <stp>3M</stp>
        <tr r="BO21" s="2"/>
        <tr r="AE19" s="5"/>
      </tp>
      <tp>
        <v>6.1256934109051482</v>
        <stp/>
        <stp>B3SA3_B_0</stp>
        <stp>6M</stp>
        <tr r="BP21" s="2"/>
        <tr r="AF19" s="5"/>
      </tp>
      <tp t="s">
        <v>-</v>
        <stp/>
        <stp>INDFUT_F_0</stp>
        <stp>THETA</stp>
        <tr r="CC17" s="2"/>
        <tr r="AS15" s="5"/>
      </tp>
      <tp t="s">
        <v>-</v>
        <stp/>
        <stp>WDOFUTV_F_0</stp>
        <stp>THETA</stp>
        <tr r="AS45" s="5"/>
        <tr r="CC47" s="2"/>
      </tp>
      <tp t="s">
        <v>-</v>
        <stp/>
        <stp>WINFUT_F_0</stp>
        <stp>THETA</stp>
        <tr r="CC36" s="2"/>
        <tr r="AS34" s="5"/>
      </tp>
      <tp t="s">
        <v>-</v>
        <stp/>
        <stp>DOLFUT_F_0</stp>
        <stp>BLACK</stp>
        <tr r="BY15" s="2"/>
        <tr r="AO13" s="5"/>
      </tp>
      <tp t="s">
        <v>-</v>
        <stp/>
        <stp>INDFUT_F_0</stp>
        <stp>BLACK</stp>
        <tr r="BY17" s="2"/>
        <tr r="AO15" s="5"/>
      </tp>
      <tp t="s">
        <v>-</v>
        <stp/>
        <stp>WDOFUT_F_0</stp>
        <stp>THETA</stp>
        <tr r="CC37" s="2"/>
        <tr r="AS35" s="5"/>
      </tp>
      <tp t="s">
        <v>-</v>
        <stp/>
        <stp>INDFUT_F_0</stp>
        <stp>DELTA</stp>
        <tr r="CA17" s="2"/>
        <tr r="AQ15" s="5"/>
      </tp>
      <tp>
        <v>-1.9759341034569677</v>
        <stp/>
        <stp>DOLFUT_F_0</stp>
        <stp>SEMES</stp>
        <tr r="BT15" s="2"/>
        <tr r="AJ13" s="5"/>
      </tp>
      <tp t="s">
        <v>-</v>
        <stp/>
        <stp>DOLFUT_F_0</stp>
        <stp>DELTA</stp>
        <tr r="CA15" s="2"/>
        <tr r="AQ13" s="5"/>
      </tp>
      <tp>
        <v>-1.6766328275053362</v>
        <stp/>
        <stp>INDFUT_F_0</stp>
        <stp>SEMES</stp>
        <tr r="BT17" s="2"/>
        <tr r="AJ15" s="5"/>
      </tp>
      <tp t="s">
        <v>-</v>
        <stp/>
        <stp>DOLPRO_#_0</stp>
        <stp>IMPVT</stp>
        <tr r="BZ46" s="2"/>
        <tr r="AP44" s="5"/>
      </tp>
      <tp>
        <v>-1.9501000723409854</v>
        <stp/>
        <stp>WDOFUTV_F_0</stp>
        <stp>SEMES</stp>
        <tr r="BT47" s="2"/>
        <tr r="AJ45" s="5"/>
      </tp>
      <tp>
        <v>-1.7930988053993453</v>
        <stp/>
        <stp>WINFUT_F_0</stp>
        <stp>SEMES</stp>
        <tr r="BT36" s="2"/>
        <tr r="AJ34" s="5"/>
      </tp>
      <tp t="s">
        <v>-</v>
        <stp/>
        <stp>WDOFUTV_F_0</stp>
        <stp>DELTA</stp>
        <tr r="CA47" s="2"/>
        <tr r="AQ45" s="5"/>
      </tp>
      <tp t="s">
        <v>-</v>
        <stp/>
        <stp>WINFUT_F_0</stp>
        <stp>DELTA</stp>
        <tr r="CA36" s="2"/>
        <tr r="AQ34" s="5"/>
      </tp>
      <tp t="s">
        <v>-</v>
        <stp/>
        <stp>WDOFUT_F_0</stp>
        <stp>BLACK</stp>
        <tr r="BY37" s="2"/>
        <tr r="AO35" s="5"/>
      </tp>
      <tp t="s">
        <v>-</v>
        <stp/>
        <stp>DOLPRO_#_0</stp>
        <stp>DELTA</stp>
        <tr r="AQ44" s="5"/>
        <tr r="CA46" s="2"/>
      </tp>
      <tp t="s">
        <v>-</v>
        <stp/>
        <stp>WDOFUTV_F_0</stp>
        <stp>IMPVT</stp>
        <tr r="AP45" s="5"/>
        <tr r="BZ47" s="2"/>
      </tp>
      <tp t="s">
        <v>-</v>
        <stp/>
        <stp>WINFUT_F_0</stp>
        <stp>IMPVT</stp>
        <tr r="BZ36" s="2"/>
        <tr r="AP34" s="5"/>
      </tp>
      <tp>
        <v>0.29231752991687221</v>
        <stp/>
        <stp>DOLPRO_#_0</stp>
        <stp>SEMES</stp>
        <tr r="BT46" s="2"/>
        <tr r="AJ44" s="5"/>
      </tp>
      <tp t="s">
        <v>-</v>
        <stp/>
        <stp>INDFUT_F_0</stp>
        <stp>IMPVT</stp>
        <tr r="BZ17" s="2"/>
        <tr r="AP15" s="5"/>
      </tp>
      <tp t="s">
        <v>-</v>
        <stp/>
        <stp>DOLFUT_F_0</stp>
        <stp>IMPVT</stp>
        <tr r="BZ15" s="2"/>
        <tr r="AP13" s="5"/>
      </tp>
      <tp t="s">
        <v>-</v>
        <stp/>
        <stp>DOLPRO_#_0</stp>
        <stp>THETA</stp>
        <tr r="AS44" s="5"/>
        <tr r="CC46" s="2"/>
      </tp>
      <tp t="s">
        <v>-</v>
        <stp/>
        <stp>WDOFUT_F_0</stp>
        <stp>IMPVT</stp>
        <tr r="AP35" s="5"/>
        <tr r="BZ37" s="2"/>
      </tp>
      <tp t="s">
        <v>-</v>
        <stp/>
        <stp>DOLPRO_#_0</stp>
        <stp>BLACK</stp>
        <tr r="AO44" s="5"/>
        <tr r="BY46" s="2"/>
      </tp>
      <tp>
        <v>144710</v>
        <stp/>
        <stp>winfut_F_0</stp>
        <stp>ULT</stp>
        <tr r="AP17" s="2"/>
      </tp>
      <tp t="s">
        <v>-</v>
        <stp/>
        <stp>WINFUT_F_0</stp>
        <stp>VEGA</stp>
        <tr r="CE36" s="2"/>
        <tr r="AU34" s="5"/>
      </tp>
      <tp t="s">
        <v>-</v>
        <stp/>
        <stp>WDOFUT_F_0</stp>
        <stp>VEGA</stp>
        <tr r="AU35" s="5"/>
        <tr r="CE37" s="2"/>
      </tp>
      <tp t="s">
        <v>-</v>
        <stp/>
        <stp>WDOFUT_F_0</stp>
        <stp>VEXT</stp>
        <tr r="CK37" s="2"/>
        <tr r="BA35" s="5"/>
      </tp>
      <tp t="s">
        <v>-</v>
        <stp/>
        <stp>WINFUT_F_0</stp>
        <stp>VEXT</stp>
        <tr r="BA34" s="5"/>
        <tr r="CK36" s="2"/>
      </tp>
      <tp t="s">
        <v>-</v>
        <stp/>
        <stp>BBAS3_B_0</stp>
        <stp>VEXT</stp>
        <tr r="CK14" s="2"/>
        <tr r="BA12" s="5"/>
      </tp>
      <tp t="s">
        <v>-</v>
        <stp/>
        <stp>BRFS3_B_0</stp>
        <stp>VEXT</stp>
        <tr r="CK33" s="2"/>
        <tr r="BA31" s="5"/>
      </tp>
      <tp>
        <v>12.05</v>
        <stp/>
        <stp>ABEV3_B_0</stp>
        <stp>OCP</stp>
        <tr r="BD20" s="2"/>
        <tr r="T18" s="5"/>
      </tp>
      <tp t="s">
        <v>14/10/2025</v>
        <stp/>
        <stp>RENT3_B_0</stp>
        <stp>DAT</stp>
        <tr r="D22" s="5"/>
        <tr r="AN24" s="2"/>
      </tp>
      <tp>
        <v>5.4976000000000003</v>
        <stp/>
        <stp>DOLPT_E_0</stp>
        <stp>ABE</stp>
        <tr r="G14" s="5"/>
        <tr r="AQ16" s="2"/>
      </tp>
      <tp>
        <v>0</v>
        <stp/>
        <stp>AZZA3_B_0</stp>
        <stp>PRT</stp>
        <tr r="L10" s="2"/>
      </tp>
      <tp t="s">
        <v>-</v>
        <stp/>
        <stp>KEPL3_B_0</stp>
        <stp>IMPVT</stp>
        <tr r="BZ73" s="2"/>
        <tr r="AP71" s="5"/>
      </tp>
      <tp>
        <v>8.6</v>
        <stp/>
        <stp>MGLU3_B_0</stp>
        <stp>FEC</stp>
        <tr r="J52" s="2"/>
        <tr r="AT35" s="2"/>
        <tr r="J33" s="5"/>
      </tp>
      <tp>
        <v>0</v>
        <stp/>
        <stp>SUZB3_B_0</stp>
        <stp>PRT</stp>
        <tr r="L75" s="2"/>
        <tr r="BJ25" s="2"/>
        <tr r="Z23" s="5"/>
      </tp>
      <tp>
        <v>6.65</v>
        <stp/>
        <stp>BEEF3_B_0</stp>
        <stp>OVD</stp>
        <tr r="U65" s="5"/>
        <tr r="BE67" s="2"/>
      </tp>
      <tp>
        <v>27.150000000000002</v>
        <stp/>
        <stp>MULT3_B_0</stp>
        <stp>FEC</stp>
        <tr r="J58" s="2"/>
      </tp>
      <tp t="s">
        <v>-</v>
        <stp/>
        <stp>PETR4_B_0</stp>
        <stp>DELTA</stp>
        <tr r="CA11" s="2"/>
        <tr r="AQ9" s="5"/>
      </tp>
      <tp>
        <v>-11.210168451313852</v>
        <stp/>
        <stp>DOLPT_E_0</stp>
        <stp>ANO</stp>
        <tr r="BR16" s="2"/>
        <tr r="AH14" s="5"/>
      </tp>
      <tp t="s">
        <v>-</v>
        <stp/>
        <stp>JBSS3_B_0</stp>
        <stp>VEXT</stp>
        <tr r="CK64" s="2"/>
        <tr r="BA62" s="5"/>
      </tp>
      <tp>
        <v>0</v>
        <stp/>
        <stp>ARZZ3_B_0</stp>
        <stp>PEX</stp>
        <tr r="AU72" s="2"/>
        <tr r="K70" s="5"/>
      </tp>
      <tp t="s">
        <v>17:07:47</v>
        <stp/>
        <stp>GGBR4_B_0</stp>
        <stp>HOR</stp>
        <tr r="E11" s="5"/>
        <tr r="AO13" s="2"/>
      </tp>
      <tp t="s">
        <v>17:07:41</v>
        <stp/>
        <stp>EMBR3_B_0</stp>
        <stp>HOR</stp>
        <tr r="E24" s="5"/>
        <tr r="AO26" s="2"/>
      </tp>
      <tp>
        <v>0</v>
        <stp/>
        <stp>CIEL3_B_0</stp>
        <stp>OVD</stp>
        <tr r="BE8" s="2"/>
        <tr r="U6" s="5"/>
      </tp>
      <tp>
        <v>0</v>
        <stp/>
        <stp>DOLPT_E_0</stp>
        <stp>AJU</stp>
        <tr r="BH16" s="2"/>
        <tr r="X14" s="5"/>
      </tp>
      <tp>
        <v>0</v>
        <stp/>
        <stp>DOLPT_E_0</stp>
        <stp>AJA</stp>
        <tr r="BI16" s="2"/>
        <tr r="Y14" s="5"/>
      </tp>
      <tp>
        <v>0</v>
        <stp/>
        <stp>RAIZ4_B_0</stp>
        <stp>CAB</stp>
        <tr r="BW77" s="2"/>
        <tr r="AM75" s="5"/>
      </tp>
      <tp>
        <v>13.83</v>
        <stp/>
        <stp>TTEN3_B_0</stp>
        <stp>OVD</stp>
        <tr r="BE84" s="2"/>
        <tr r="U82" s="5"/>
      </tp>
      <tp>
        <v>14.43</v>
        <stp/>
        <stp>LREN3_B_0</stp>
        <stp>OVD</stp>
        <tr r="BE34" s="2"/>
        <tr r="U32" s="5"/>
      </tp>
      <tp>
        <v>40307</v>
        <stp/>
        <stp>BBDC4_B_0</stp>
        <stp>NEG</stp>
        <tr r="AZ27" s="2"/>
        <tr r="P25" s="5"/>
      </tp>
      <tp>
        <v>0</v>
        <stp/>
        <stp>CMIG4_B_0</stp>
        <stp>CAB</stp>
        <tr r="BW23" s="2"/>
        <tr r="AM21" s="5"/>
      </tp>
      <tp>
        <v>0</v>
        <stp/>
        <stp>SUZB3_B_0</stp>
        <stp>PEX</stp>
        <tr r="AU25" s="2"/>
        <tr r="K23" s="5"/>
      </tp>
      <tp t="s">
        <v>17:22:00</v>
        <stp/>
        <stp>IFIX_B_0</stp>
        <stp>HOR</stp>
        <tr r="E46" s="5"/>
        <tr r="AO48" s="2"/>
      </tp>
      <tp>
        <v>16.852359244243921</v>
        <stp/>
        <stp>VALE3_B_0</stp>
        <stp>SEMES</stp>
        <tr r="BT12" s="2"/>
        <tr r="AJ10" s="5"/>
      </tp>
      <tp>
        <v>-30.62200956937799</v>
        <stp/>
        <stp>VAMO3_B_0</stp>
        <stp>SEMES</stp>
        <tr r="BT74" s="2"/>
        <tr r="AJ72" s="5"/>
      </tp>
      <tp>
        <v>6.51</v>
        <stp/>
        <stp>BEEF3_B_0</stp>
        <stp>OCP</stp>
        <tr r="T65" s="5"/>
        <tr r="BD67" s="2"/>
      </tp>
      <tp t="s">
        <v>14/10/2025</v>
        <stp/>
        <stp>CSNA3_B_0</stp>
        <stp>DAT</stp>
        <tr r="AN10" s="2"/>
        <tr r="D8" s="5"/>
      </tp>
      <tp>
        <v>59.75</v>
        <stp/>
        <stp>VALE3_B_0</stp>
        <stp>FEC</stp>
        <tr r="J82" s="2"/>
        <tr r="AT12" s="2"/>
        <tr r="J10" s="5"/>
      </tp>
      <tp t="s">
        <v>-</v>
        <stp/>
        <stp>JBSS3_B_0</stp>
        <stp>VEGA</stp>
        <tr r="CE64" s="2"/>
        <tr r="AU62" s="5"/>
      </tp>
      <tp>
        <v>0</v>
        <stp/>
        <stp>MDIA3_B_0</stp>
        <stp>CAB</stp>
        <tr r="BW78" s="2"/>
        <tr r="AM76" s="5"/>
      </tp>
      <tp>
        <v>12.51</v>
        <stp/>
        <stp>CPLE6_B_0</stp>
        <stp>FEC</stp>
        <tr r="J24" s="2"/>
      </tp>
      <tp>
        <v>12.13</v>
        <stp/>
        <stp>ABEV3_B_0</stp>
        <stp>OVD</stp>
        <tr r="BE20" s="2"/>
        <tr r="U18" s="5"/>
      </tp>
      <tp t="s">
        <v>Pré-Fechamento</v>
        <stp/>
        <stp>ECOR3_B_0</stp>
        <stp>EST</stp>
        <tr r="BX7" s="2"/>
        <tr r="AN5" s="5"/>
      </tp>
      <tp>
        <v>0</v>
        <stp/>
        <stp>CIEL3_B_0</stp>
        <stp>OCP</stp>
        <tr r="BD8" s="2"/>
        <tr r="T6" s="5"/>
      </tp>
      <tp>
        <v>0</v>
        <stp/>
        <stp>USIM5_B_0</stp>
        <stp>CAB</stp>
        <tr r="BW29" s="2"/>
        <tr r="AM27" s="5"/>
      </tp>
      <tp>
        <v>5.3631095332567584</v>
        <stp/>
        <stp>VIVT3_B_0</stp>
        <stp>SEMES</stp>
        <tr r="BT9" s="2"/>
        <tr r="AJ7" s="5"/>
      </tp>
      <tp>
        <v>14.31</v>
        <stp/>
        <stp>LREN3_B_0</stp>
        <stp>OCP</stp>
        <tr r="BD34" s="2"/>
        <tr r="T32" s="5"/>
      </tp>
      <tp>
        <v>0</v>
        <stp/>
        <stp>RAIL3_B_0</stp>
        <stp>CAB</stp>
        <tr r="BW60" s="2"/>
        <tr r="AM58" s="5"/>
      </tp>
      <tp>
        <v>13.65</v>
        <stp/>
        <stp>TTEN3_B_0</stp>
        <stp>OCP</stp>
        <tr r="BD84" s="2"/>
        <tr r="T82" s="5"/>
      </tp>
      <tp t="s">
        <v>-</v>
        <stp/>
        <stp>BRFS3_B_0</stp>
        <stp>VEGA</stp>
        <tr r="CE33" s="2"/>
        <tr r="AU31" s="5"/>
      </tp>
      <tp>
        <v>0</v>
        <stp/>
        <stp>ARZZ3_B_0</stp>
        <stp>PRT</stp>
        <tr r="BJ72" s="2"/>
        <tr r="Z70" s="5"/>
      </tp>
      <tp t="s">
        <v>-</v>
        <stp/>
        <stp>BBAS3_B_0</stp>
        <stp>VEGA</stp>
        <tr r="CE14" s="2"/>
        <tr r="AU12" s="5"/>
      </tp>
      <tp t="s">
        <v>14/10/2025</v>
        <stp/>
        <stp>RANI3_B_0</stp>
        <stp>DAT</stp>
        <tr r="D83" s="5"/>
        <tr r="AN85" s="2"/>
        <tr r="AN92" s="2"/>
        <tr r="AN91" s="2"/>
        <tr r="AN90" s="2"/>
        <tr r="AN89" s="2"/>
        <tr r="AN88" s="2"/>
        <tr r="AN87" s="2"/>
        <tr r="AN86" s="2"/>
      </tp>
      <tp>
        <v>2.6</v>
        <stp/>
        <stp>JALL3_B_0</stp>
        <stp>FEC</stp>
        <tr r="AT69" s="2"/>
        <tr r="J67" s="5"/>
      </tp>
      <tp>
        <v>0</v>
        <stp/>
        <stp>WINM24_F_0</stp>
        <stp>ABE</stp>
        <tr r="AQ40" s="2"/>
        <tr r="G38" s="5"/>
      </tp>
      <tp>
        <v>0</v>
        <stp/>
        <stp>WDOM24_F_0</stp>
        <stp>ABE</stp>
        <tr r="G47" s="5"/>
        <tr r="AQ49" s="2"/>
      </tp>
      <tp t="s">
        <v>18/12/2024</v>
        <stp/>
        <stp>WINZ24_F_0</stp>
        <stp>VAL</stp>
        <tr r="BV43" s="2"/>
        <tr r="AL41" s="5"/>
      </tp>
      <tp>
        <v>0</v>
        <stp/>
        <stp>WINZ24_F_0</stp>
        <stp>VAR</stp>
        <tr r="AV43" s="2"/>
        <tr r="L41" s="5"/>
      </tp>
      <tp t="s">
        <v>30/12/1899</v>
        <stp/>
        <stp>WDOH24_F_0</stp>
        <stp>DAT</stp>
        <tr r="D50" s="5"/>
        <tr r="AN52" s="2"/>
      </tp>
      <tp>
        <v>0</v>
        <stp/>
        <stp>WINJ24_F_0</stp>
        <stp>FEC</stp>
        <tr r="AT38" s="2"/>
        <tr r="J36" s="5"/>
      </tp>
      <tp t="s">
        <v>18/12/2024</v>
        <stp/>
        <stp>WINZ24_F_0</stp>
        <stp>VEN</stp>
        <tr r="BU43" s="2"/>
        <tr r="AK41" s="5"/>
      </tp>
      <tp>
        <v>0</v>
        <stp/>
        <stp>WDOJ24_F_0</stp>
        <stp>FEC</stp>
        <tr r="AT51" s="2"/>
        <tr r="J49" s="5"/>
      </tp>
      <tp>
        <v>0</v>
        <stp/>
        <stp>WINM24_F_0</stp>
        <stp>AJA</stp>
        <tr r="BI40" s="2"/>
        <tr r="Y38" s="5"/>
      </tp>
      <tp>
        <v>0</v>
        <stp/>
        <stp>WDOM24_F_0</stp>
        <stp>AJA</stp>
        <tr r="BI49" s="2"/>
        <tr r="Y47" s="5"/>
      </tp>
      <tp>
        <v>0</v>
        <stp/>
        <stp>WINM24_F_0</stp>
        <stp>AJU</stp>
        <tr r="X38" s="5"/>
        <tr r="BH40" s="2"/>
      </tp>
      <tp>
        <v>0</v>
        <stp/>
        <stp>WDOM24_F_0</stp>
        <stp>AJU</stp>
        <tr r="X47" s="5"/>
        <tr r="BH49" s="2"/>
      </tp>
      <tp t="s">
        <v>-</v>
        <stp/>
        <stp>WINZ24_F_0</stp>
        <stp>VIA</stp>
        <tr r="CF43" s="2"/>
        <tr r="AV41" s="5"/>
      </tp>
      <tp t="s">
        <v>-</v>
        <stp/>
        <stp>WINZ24_F_0</stp>
        <stp>VIB</stp>
        <tr r="CG43" s="2"/>
        <tr r="AW41" s="5"/>
      </tp>
      <tp>
        <v>0</v>
        <stp/>
        <stp>WDOM24_F_0</stp>
        <stp>ANO</stp>
        <tr r="BR49" s="2"/>
        <tr r="AH47" s="5"/>
      </tp>
      <tp>
        <v>0</v>
        <stp/>
        <stp>WINM24_F_0</stp>
        <stp>ANO</stp>
        <tr r="BR40" s="2"/>
        <tr r="AH38" s="5"/>
      </tp>
      <tp>
        <v>0</v>
        <stp/>
        <stp>WINZ24_F_0</stp>
        <stp>VOC</stp>
        <tr r="BF43" s="2"/>
        <tr r="V41" s="5"/>
      </tp>
      <tp>
        <v>0</v>
        <stp/>
        <stp>WINZ24_F_0</stp>
        <stp>VOL</stp>
        <tr r="BC43" s="2"/>
        <tr r="S41" s="5"/>
      </tp>
      <tp>
        <v>0</v>
        <stp/>
        <stp>WINZ24_F_0</stp>
        <stp>VOV</stp>
        <tr r="BG43" s="2"/>
        <tr r="W41" s="5"/>
      </tp>
      <tp>
        <v>0</v>
        <stp/>
        <stp>INDM24_F_0</stp>
        <stp>ANO</stp>
        <tr r="AH43" s="5"/>
        <tr r="BR45" s="2"/>
      </tp>
      <tp>
        <v>0</v>
        <stp/>
        <stp>WINZ24_F_0</stp>
        <stp>VPJ</stp>
        <tr r="BL43" s="2"/>
        <tr r="AB41" s="5"/>
      </tp>
      <tp>
        <v>0</v>
        <stp/>
        <stp>INDM24_F_0</stp>
        <stp>AJA</stp>
        <tr r="Y43" s="5"/>
        <tr r="BI45" s="2"/>
      </tp>
      <tp>
        <v>0</v>
        <stp/>
        <stp>INDM24_F_0</stp>
        <stp>AJU</stp>
        <tr r="X43" s="5"/>
        <tr r="BH45" s="2"/>
      </tp>
      <tp>
        <v>17.52</v>
        <stp/>
        <stp>KLBN11_B_0</stp>
        <stp>FEC</stp>
        <tr r="J49" s="2"/>
        <tr r="AT82" s="2"/>
        <tr r="J80" s="5"/>
      </tp>
      <tp>
        <v>0</v>
        <stp/>
        <stp>INDM24_F_0</stp>
        <stp>ABE</stp>
        <tr r="AQ45" s="2"/>
        <tr r="G43" s="5"/>
      </tp>
      <tp t="s">
        <v>-</v>
        <stp/>
        <stp>MGLU3_B_0</stp>
        <stp>DOBRAR</stp>
        <tr r="CH35" s="2"/>
        <tr r="AX33" s="5"/>
      </tp>
      <tp>
        <v>-0.26999999999999602</v>
        <stp/>
        <stp>RENT3_B_0</stp>
        <stp>VARPTS</stp>
        <tr r="AW24" s="2"/>
        <tr r="M22" s="5"/>
      </tp>
      <tp>
        <v>0.16000000000000014</v>
        <stp/>
        <stp>BEEF3_B_0</stp>
        <stp>VARPTS</stp>
        <tr r="M65" s="5"/>
        <tr r="AW67" s="2"/>
      </tp>
      <tp t="s">
        <v>-</v>
        <stp/>
        <stp>GGBR4_B_0</stp>
        <stp>DOBRAR</stp>
        <tr r="CH13" s="2"/>
        <tr r="AX11" s="5"/>
      </tp>
      <tp>
        <v>-1.9999999999999574E-2</v>
        <stp/>
        <stp>KEPL3_B_0</stp>
        <stp>VARPTS</stp>
        <tr r="AW73" s="2"/>
        <tr r="M71" s="5"/>
      </tp>
      <tp>
        <v>-0.2099999999999973</v>
        <stp/>
        <stp>PETR4_B_0</stp>
        <stp>VARPTS</stp>
        <tr r="AW11" s="2"/>
        <tr r="M9" s="5"/>
      </tp>
      <tp t="s">
        <v>-</v>
        <stp/>
        <stp>AGRO3_B_0</stp>
        <stp>DOBRAR</stp>
        <tr r="CH71" s="2"/>
        <tr r="AX69" s="5"/>
      </tp>
      <tp>
        <v>0</v>
        <stp/>
        <stp>BRFS3_B_0</stp>
        <stp>MES</stp>
        <tr r="AD31" s="5"/>
        <tr r="BN33" s="2"/>
      </tp>
      <tp>
        <v>22.57</v>
        <stp/>
        <stp>TIMS3_B_0</stp>
        <stp>FEC</stp>
        <tr r="J78" s="2"/>
      </tp>
      <tp>
        <v>0</v>
        <stp/>
        <stp>SUZB3_B_0</stp>
        <stp>QTE</stp>
        <tr r="BK25" s="2"/>
        <tr r="AA23" s="5"/>
      </tp>
      <tp>
        <v>3931900</v>
        <stp/>
        <stp>SUZB3_B_0</stp>
        <stp>QTT</stp>
        <tr r="BB25" s="2"/>
        <tr r="R23" s="5"/>
      </tp>
      <tp>
        <v>18.118185171790234</v>
        <stp/>
        <stp>BRFS3_B_0</stp>
        <stp>MED</stp>
        <tr r="AX33" s="2"/>
        <tr r="N31" s="5"/>
      </tp>
      <tp>
        <v>0</v>
        <stp/>
        <stp>SUZB3_B_0</stp>
        <stp>QUL</stp>
        <tr r="BA25" s="2"/>
        <tr r="Q23" s="5"/>
      </tp>
      <tp>
        <v>-4.3875685557586763</v>
        <stp/>
        <stp>SLCE3_B_0</stp>
        <stp>TRIM</stp>
        <tr r="BS79" s="2"/>
        <tr r="AI77" s="5"/>
      </tp>
      <tp t="s">
        <v>-</v>
        <stp/>
        <stp>JALL3_B_0</stp>
        <stp>IMPVT</stp>
        <tr r="AP67" s="5"/>
        <tr r="BZ69" s="2"/>
      </tp>
      <tp t="s">
        <v>-</v>
        <stp/>
        <stp>JBSS3_B_0</stp>
        <stp>IMPVT</stp>
        <tr r="BZ64" s="2"/>
        <tr r="AP62" s="5"/>
      </tp>
      <tp t="s">
        <v>-</v>
        <stp/>
        <stp>GGBR4_B_0</stp>
        <stp>VEXT</stp>
        <tr r="CK13" s="2"/>
        <tr r="BA11" s="5"/>
      </tp>
      <tp>
        <v>17.29</v>
        <stp/>
        <stp>BBDC4_B_0</stp>
        <stp>OVD</stp>
        <tr r="BE27" s="2"/>
        <tr r="U25" s="5"/>
      </tp>
      <tp t="s">
        <v>-</v>
        <stp/>
        <stp>VAMO3_B_0</stp>
        <stp>DELTA</stp>
        <tr r="CA74" s="2"/>
        <tr r="AQ72" s="5"/>
      </tp>
      <tp t="s">
        <v>-</v>
        <stp/>
        <stp>VALE3_B_0</stp>
        <stp>DELTA</stp>
        <tr r="CA12" s="2"/>
        <tr r="AQ10" s="5"/>
      </tp>
      <tp>
        <v>18.77</v>
        <stp/>
        <stp>BRFS3_B_0</stp>
        <stp>MAX</stp>
        <tr r="AR33" s="2"/>
        <tr r="H31" s="5"/>
      </tp>
      <tp t="s">
        <v>Pré-Fechamento</v>
        <stp/>
        <stp>CSNA3_B_0</stp>
        <stp>EST</stp>
        <tr r="BX10" s="2"/>
        <tr r="AN8" s="5"/>
      </tp>
      <tp>
        <v>3.7686696769711605</v>
        <stp/>
        <stp>VALE3_B_0</stp>
        <stp>TRIM</stp>
        <tr r="AI10" s="5"/>
        <tr r="BS12" s="2"/>
      </tp>
      <tp t="s">
        <v>14/10/2025</v>
        <stp/>
        <stp>ECOR3_B_0</stp>
        <stp>DAT</stp>
        <tr r="D5" s="5"/>
        <tr r="AN7" s="2"/>
      </tp>
      <tp>
        <v>14521</v>
        <stp/>
        <stp>ABEV3_B_0</stp>
        <stp>NEG</stp>
        <tr r="AZ20" s="2"/>
        <tr r="P18" s="5"/>
      </tp>
      <tp t="s">
        <v>-</v>
        <stp/>
        <stp>ECOR3_B_0</stp>
        <stp>VEXT</stp>
        <tr r="CK7" s="2"/>
        <tr r="BA5" s="5"/>
      </tp>
      <tp t="s">
        <v>-</v>
        <stp/>
        <stp>EMBR3_B_0</stp>
        <stp>VEXT</stp>
        <tr r="CK26" s="2"/>
        <tr r="BA24" s="5"/>
      </tp>
      <tp t="s">
        <v>-</v>
        <stp/>
        <stp>PETR4_B_0</stp>
        <stp>VEGA</stp>
        <tr r="CE11" s="2"/>
        <tr r="AU9" s="5"/>
      </tp>
      <tp t="s">
        <v>-</v>
        <stp/>
        <stp>VIVT3_B_0</stp>
        <stp>DELTA</stp>
        <tr r="CA9" s="2"/>
        <tr r="AQ7" s="5"/>
      </tp>
      <tp t="s">
        <v>-</v>
        <stp/>
        <stp>PCAR3_B_0</stp>
        <stp>VEGA</stp>
        <tr r="CE70" s="2"/>
        <tr r="AU68" s="5"/>
      </tp>
      <tp>
        <v>17.95</v>
        <stp/>
        <stp>BRFS3_B_0</stp>
        <stp>MIN</stp>
        <tr r="AS33" s="2"/>
        <tr r="I31" s="5"/>
      </tp>
      <tp t="s">
        <v>Pré-Fechamento</v>
        <stp/>
        <stp>RANI3_B_0</stp>
        <stp>EST</stp>
        <tr r="BX85" s="2"/>
        <tr r="AN83" s="5"/>
        <tr r="BX92" s="2"/>
        <tr r="BX91" s="2"/>
        <tr r="BX90" s="2"/>
        <tr r="BX89" s="2"/>
        <tr r="BX88" s="2"/>
        <tr r="BX87" s="2"/>
        <tr r="BX86" s="2"/>
      </tp>
      <tp>
        <v>22.14</v>
        <stp/>
        <stp>MRFG3_B_0</stp>
        <stp>MAX</stp>
        <tr r="H66" s="5"/>
        <tr r="AR68" s="2"/>
      </tp>
      <tp>
        <v>-6.1237785016286725</v>
        <stp/>
        <stp>CYRE3_B_0</stp>
        <stp>TRIM</stp>
        <tr r="BS28" s="2"/>
        <tr r="AI26" s="5"/>
      </tp>
      <tp>
        <v>0</v>
        <stp/>
        <stp>CRFB3_B_0</stp>
        <stp>MES</stp>
        <tr r="BN63" s="2"/>
        <tr r="AD61" s="5"/>
      </tp>
      <tp>
        <v>0</v>
        <stp/>
        <stp>CRFB3_B_0</stp>
        <stp>MED</stp>
        <tr r="AX63" s="2"/>
        <tr r="N61" s="5"/>
      </tp>
      <tp t="s">
        <v>Pré-Fechamento</v>
        <stp/>
        <stp>RENT3_B_0</stp>
        <stp>EST</stp>
        <tr r="BX24" s="2"/>
        <tr r="AN22" s="5"/>
      </tp>
      <tp>
        <v>141334.32</v>
        <stp/>
        <stp>IBOV_B_0</stp>
        <stp>MIN</stp>
        <tr r="AS6" s="2"/>
        <tr r="I4" s="5"/>
      </tp>
      <tp t="s">
        <v>-</v>
        <stp/>
        <stp>PCAR3_B_0</stp>
        <stp>VEXT</stp>
        <tr r="CK70" s="2"/>
        <tr r="BA68" s="5"/>
      </tp>
      <tp>
        <v>0</v>
        <stp/>
        <stp>MRFG3_B_0</stp>
        <stp>MES</stp>
        <tr r="AD66" s="5"/>
        <tr r="BN68" s="2"/>
      </tp>
      <tp t="s">
        <v>-</v>
        <stp/>
        <stp>PETR4_B_0</stp>
        <stp>VEXT</stp>
        <tr r="CK11" s="2"/>
        <tr r="BA9" s="5"/>
      </tp>
      <tp>
        <v>21.317863649215791</v>
        <stp/>
        <stp>MRFG3_B_0</stp>
        <stp>MED</stp>
        <tr r="N66" s="5"/>
        <tr r="AX68" s="2"/>
      </tp>
      <tp>
        <v>0</v>
        <stp/>
        <stp>CRFB3_B_0</stp>
        <stp>MAX</stp>
        <tr r="AR63" s="2"/>
        <tr r="H61" s="5"/>
      </tp>
      <tp>
        <v>9488</v>
        <stp/>
        <stp>BEEF3_B_0</stp>
        <stp>NEG</stp>
        <tr r="P65" s="5"/>
        <tr r="AZ67" s="2"/>
      </tp>
      <tp t="s">
        <v>17:06:00</v>
        <stp/>
        <stp>DXCO3_B_0</stp>
        <stp>HOR</stp>
        <tr r="E73" s="5"/>
        <tr r="AO75" s="2"/>
      </tp>
      <tp>
        <v>17.18</v>
        <stp/>
        <stp>BBDC4_B_0</stp>
        <stp>OCP</stp>
        <tr r="BD27" s="2"/>
        <tr r="T25" s="5"/>
      </tp>
      <tp>
        <v>-2.3965198279421602</v>
        <stp/>
        <stp>PETR4_B_0</stp>
        <stp>SEMES</stp>
        <tr r="BT11" s="2"/>
        <tr r="AJ9" s="5"/>
      </tp>
      <tp t="s">
        <v>-</v>
        <stp/>
        <stp>ABEV3_B_0</stp>
        <stp>GAMA</stp>
        <tr r="CB20" s="2"/>
        <tr r="AR18" s="5"/>
      </tp>
      <tp>
        <v>0</v>
        <stp/>
        <stp>ARZZ3_B_0</stp>
        <stp>QTT</stp>
        <tr r="BB72" s="2"/>
        <tr r="R70" s="5"/>
      </tp>
      <tp>
        <v>21.12</v>
        <stp/>
        <stp>MRFG3_B_0</stp>
        <stp>MIN</stp>
        <tr r="I66" s="5"/>
        <tr r="AS68" s="2"/>
      </tp>
      <tp>
        <v>0</v>
        <stp/>
        <stp>ARZZ3_B_0</stp>
        <stp>QTE</stp>
        <tr r="BK72" s="2"/>
        <tr r="AA70" s="5"/>
      </tp>
      <tp t="s">
        <v>-</v>
        <stp/>
        <stp>ECOR3_B_0</stp>
        <stp>VEGA</stp>
        <tr r="CE7" s="2"/>
        <tr r="AU5" s="5"/>
      </tp>
      <tp>
        <v>0</v>
        <stp/>
        <stp>ARZZ3_B_0</stp>
        <stp>QUL</stp>
        <tr r="BA72" s="2"/>
        <tr r="Q70" s="5"/>
      </tp>
      <tp t="s">
        <v>-</v>
        <stp/>
        <stp>EMBR3_B_0</stp>
        <stp>VEGA</stp>
        <tr r="CE26" s="2"/>
        <tr r="AU24" s="5"/>
      </tp>
      <tp>
        <v>142588.97</v>
        <stp/>
        <stp>IBOV_B_0</stp>
        <stp>MAX</stp>
        <tr r="AR6" s="2"/>
        <tr r="H4" s="5"/>
      </tp>
      <tp>
        <v>2.93</v>
        <stp/>
        <stp>VAMO3_B_0</stp>
        <stp>FEC</stp>
        <tr r="J83" s="2"/>
        <tr r="AT74" s="2"/>
        <tr r="J72" s="5"/>
      </tp>
      <tp>
        <v>8.5400000000000009</v>
        <stp/>
        <stp>POMO4_B_0</stp>
        <stp>FEC</stp>
        <tr r="J53" s="2"/>
      </tp>
      <tp t="s">
        <v>-</v>
        <stp/>
        <stp>GGBR4_B_0</stp>
        <stp>VEGA</stp>
        <tr r="CE13" s="2"/>
        <tr r="AU11" s="5"/>
      </tp>
      <tp t="s">
        <v>17:07:40</v>
        <stp/>
        <stp>SLCE3_B_0</stp>
        <stp>HOR</stp>
        <tr r="E77" s="5"/>
        <tr r="AO79" s="2"/>
      </tp>
      <tp>
        <v>3877</v>
        <stp/>
        <stp>TTEN3_B_0</stp>
        <stp>NEG</stp>
        <tr r="AZ84" s="2"/>
        <tr r="P82" s="5"/>
      </tp>
      <tp>
        <v>22917</v>
        <stp/>
        <stp>LREN3_B_0</stp>
        <stp>NEG</stp>
        <tr r="AZ34" s="2"/>
        <tr r="P32" s="5"/>
      </tp>
      <tp>
        <v>0</v>
        <stp/>
        <stp>CRFB3_B_0</stp>
        <stp>MIN</stp>
        <tr r="AS63" s="2"/>
        <tr r="I61" s="5"/>
      </tp>
      <tp>
        <v>141848.6575</v>
        <stp/>
        <stp>IBOV_B_0</stp>
        <stp>MED</stp>
        <tr r="AX6" s="2"/>
        <tr r="N4" s="5"/>
      </tp>
      <tp>
        <v>-3.1141430535168166</v>
        <stp/>
        <stp>IBOV_B_0</stp>
        <stp>MES</stp>
        <tr r="BN6" s="2"/>
        <tr r="AD4" s="5"/>
      </tp>
      <tp>
        <v>-16.241610738255034</v>
        <stp/>
        <stp>MRVE3_B_0</stp>
        <stp>TRIM</stp>
        <tr r="BS18" s="2"/>
        <tr r="AI16" s="5"/>
      </tp>
      <tp>
        <v>3.0258000000000003</v>
        <stp/>
        <stp>ARML3_B_0</stp>
        <stp>FEC</stp>
        <tr r="AT80" s="2"/>
        <tr r="J78" s="5"/>
      </tp>
      <tp>
        <v>4.9800000000000004</v>
        <stp/>
        <stp>CAML3_B_0</stp>
        <stp>FEC</stp>
        <tr r="AT83" s="2"/>
        <tr r="J81" s="5"/>
      </tp>
      <tp>
        <v>0</v>
        <stp/>
        <stp>CIEL3_B_0</stp>
        <stp>NEG</stp>
        <tr r="AZ8" s="2"/>
        <tr r="P6" s="5"/>
      </tp>
      <tp>
        <v>0</v>
        <stp/>
        <stp>WDON24_F_0</stp>
        <stp>CAB</stp>
        <tr r="BW50" s="2"/>
        <tr r="AM48" s="5"/>
      </tp>
      <tp>
        <v>0</v>
        <stp/>
        <stp>WDOK24_F_0</stp>
        <stp>FEC</stp>
        <tr r="AT39" s="2"/>
        <tr r="J37" s="5"/>
      </tp>
      <tp>
        <v>0</v>
        <stp/>
        <stp>WDOX24_F_0</stp>
        <stp>ULT</stp>
        <tr r="F54" s="5"/>
        <tr r="AP56" s="2"/>
      </tp>
      <tp t="s">
        <v>NONE</v>
        <stp/>
        <stp>WDOH24_F_0</stp>
        <stp>EST</stp>
        <tr r="BX52" s="2"/>
        <tr r="AN50" s="5"/>
      </tp>
      <tp>
        <v>1.1900000000000013</v>
        <stp/>
        <stp>MDIA3_B_0</stp>
        <stp>VARPTS</stp>
        <tr r="AW78" s="2"/>
        <tr r="M76" s="5"/>
      </tp>
      <tp t="s">
        <v>-</v>
        <stp/>
        <stp>KLBN11_B_0</stp>
        <stp>DOBRAR</stp>
        <tr r="CH82" s="2"/>
        <tr r="AX80" s="5"/>
      </tp>
      <tp t="s">
        <v>-</v>
        <stp/>
        <stp>GFSA3_B_0</stp>
        <stp>DOBRAR</stp>
        <tr r="CH22" s="2"/>
        <tr r="AX20" s="5"/>
      </tp>
      <tp>
        <v>24938</v>
        <stp/>
        <stp>BRFS3_B_0</stp>
        <stp>NEG</stp>
        <tr r="AZ33" s="2"/>
        <tr r="P31" s="5"/>
      </tp>
      <tp>
        <v>12.1</v>
        <stp/>
        <stp>ABEV3_B_0</stp>
        <stp>MAX</stp>
        <tr r="AR20" s="2"/>
        <tr r="H18" s="5"/>
      </tp>
      <tp>
        <v>-59.259259259259267</v>
        <stp/>
        <stp>RAIZ4_B_0</stp>
        <stp>ANO</stp>
        <tr r="BR77" s="2"/>
        <tr r="AH75" s="5"/>
      </tp>
      <tp t="s">
        <v>14/10/2025</v>
        <stp/>
        <stp>MGLU3_B_0</stp>
        <stp>DAT</stp>
        <tr r="D33" s="5"/>
        <tr r="AN35" s="2"/>
      </tp>
      <tp t="s">
        <v>-</v>
        <stp/>
        <stp>RAIZ4_B_0</stp>
        <stp>DELTA</stp>
        <tr r="CA77" s="2"/>
        <tr r="AQ75" s="5"/>
      </tp>
      <tp t="s">
        <v>-</v>
        <stp/>
        <stp>RAPT4_B_0</stp>
        <stp>DELTA</stp>
        <tr r="CA76" s="2"/>
        <tr r="AQ74" s="5"/>
      </tp>
      <tp t="s">
        <v>-</v>
        <stp/>
        <stp>ARZZ3_B_0</stp>
        <stp>RHO</stp>
        <tr r="CD72" s="2"/>
        <tr r="AT70" s="5"/>
      </tp>
      <tp>
        <v>-0.33085194375516247</v>
        <stp/>
        <stp>ABEV3_B_0</stp>
        <stp>MES</stp>
        <tr r="BN20" s="2"/>
        <tr r="AD18" s="5"/>
      </tp>
      <tp>
        <v>12.021358290832579</v>
        <stp/>
        <stp>ABEV3_B_0</stp>
        <stp>MED</stp>
        <tr r="AX20" s="2"/>
        <tr r="N18" s="5"/>
      </tp>
      <tp>
        <v>0</v>
        <stp/>
        <stp>RAIZ4_B_0</stp>
        <stp>AJA</stp>
        <tr r="BI77" s="2"/>
        <tr r="Y75" s="5"/>
      </tp>
      <tp>
        <v>0</v>
        <stp/>
        <stp>RAIZ4_B_0</stp>
        <stp>AJU</stp>
        <tr r="BH77" s="2"/>
        <tr r="X75" s="5"/>
      </tp>
      <tp>
        <v>-32.16245883644347</v>
        <stp/>
        <stp>TUPY3_B_0</stp>
        <stp>SEMES</stp>
        <tr r="BT81" s="2"/>
        <tr r="AJ79" s="5"/>
      </tp>
      <tp>
        <v>36.14</v>
        <stp/>
        <stp>RENT3_B_0</stp>
        <stp>FEC</stp>
        <tr r="J50" s="2"/>
        <tr r="AT24" s="2"/>
        <tr r="J22" s="5"/>
      </tp>
      <tp>
        <v>0</v>
        <stp/>
        <stp>DOLPT_E_0</stp>
        <stp>CAB</stp>
        <tr r="BW16" s="2"/>
        <tr r="AM14" s="5"/>
      </tp>
      <tp>
        <v>-9.0006618133686374</v>
        <stp/>
        <stp>TTEN3_B_0</stp>
        <stp>SEMES</stp>
        <tr r="BT84" s="2"/>
        <tr r="AJ82" s="5"/>
      </tp>
      <tp t="s">
        <v>Pré-Fechamento</v>
        <stp/>
        <stp>CAML3_B_0</stp>
        <stp>EST</stp>
        <tr r="BX83" s="2"/>
        <tr r="AN81" s="5"/>
      </tp>
      <tp t="s">
        <v>Pré-Fechamento</v>
        <stp/>
        <stp>ARML3_B_0</stp>
        <stp>EST</stp>
        <tr r="BX80" s="2"/>
        <tr r="AN78" s="5"/>
      </tp>
      <tp>
        <v>11.75</v>
        <stp/>
        <stp>ABEV3_B_0</stp>
        <stp>MIN</stp>
        <tr r="AS20" s="2"/>
        <tr r="I18" s="5"/>
      </tp>
      <tp t="s">
        <v>09:23:34</v>
        <stp/>
        <stp>WINFUT_F_0</stp>
        <stp>HOR</stp>
        <tr r="AO36" s="2"/>
        <tr r="E34" s="5"/>
      </tp>
      <tp t="s">
        <v>09:23:34</v>
        <stp/>
        <stp>WDOFUT_F_0</stp>
        <stp>HOR</stp>
        <tr r="AO37" s="2"/>
        <tr r="E35" s="5"/>
      </tp>
      <tp t="s">
        <v>Pré-Fechamento</v>
        <stp/>
        <stp>VAMO3_B_0</stp>
        <stp>EST</stp>
        <tr r="BX74" s="2"/>
        <tr r="AN72" s="5"/>
      </tp>
      <tp>
        <v>0.85</v>
        <stp/>
        <stp>RAIZ4_B_0</stp>
        <stp>ABE</stp>
        <tr r="G75" s="5"/>
        <tr r="AQ77" s="2"/>
      </tp>
      <tp>
        <v>0</v>
        <stp/>
        <stp>RAIL3_B_0</stp>
        <stp>AJA</stp>
        <tr r="BI60" s="2"/>
        <tr r="Y58" s="5"/>
      </tp>
      <tp>
        <v>0</v>
        <stp/>
        <stp>RAIL3_B_0</stp>
        <stp>AJU</stp>
        <tr r="BH60" s="2"/>
        <tr r="X58" s="5"/>
      </tp>
      <tp>
        <v>-1.9259259259259243</v>
        <stp/>
        <stp>BEEF3_B_0</stp>
        <stp>TRIM</stp>
        <tr r="AI65" s="5"/>
        <tr r="BS67" s="2"/>
      </tp>
      <tp>
        <v>13.53</v>
        <stp/>
        <stp>TTEN3_B_0</stp>
        <stp>MIN</stp>
        <tr r="AS84" s="2"/>
        <tr r="I82" s="5"/>
      </tp>
      <tp>
        <v>6.66</v>
        <stp/>
        <stp>BEEF3_B_0</stp>
        <stp>MAX</stp>
        <tr r="H65" s="5"/>
        <tr r="AR67" s="2"/>
      </tp>
      <tp>
        <v>0</v>
        <stp/>
        <stp>USIM5_B_0</stp>
        <stp>AJA</stp>
        <tr r="BI29" s="2"/>
        <tr r="Y27" s="5"/>
      </tp>
      <tp>
        <v>13.93</v>
        <stp/>
        <stp>LREN3_B_0</stp>
        <stp>MIN</stp>
        <tr r="AS34" s="2"/>
        <tr r="I32" s="5"/>
      </tp>
      <tp>
        <v>0</v>
        <stp/>
        <stp>USIM5_B_0</stp>
        <stp>AJU</stp>
        <tr r="BH29" s="2"/>
        <tr r="X27" s="5"/>
      </tp>
      <tp>
        <v>0</v>
        <stp/>
        <stp>CRFB3_B_0</stp>
        <stp>NEG</stp>
        <tr r="AZ63" s="2"/>
        <tr r="P61" s="5"/>
      </tp>
      <tp t="s">
        <v>14/10/2025</v>
        <stp/>
        <stp>VALE3_B_0</stp>
        <stp>DAT</stp>
        <tr r="D10" s="5"/>
        <tr r="AN12" s="2"/>
      </tp>
      <tp>
        <v>8.41</v>
        <stp/>
        <stp>CSNA3_B_0</stp>
        <stp>FEC</stp>
        <tr r="J72" s="2"/>
        <tr r="AT10" s="2"/>
        <tr r="J8" s="5"/>
      </tp>
      <tp>
        <v>0</v>
        <stp/>
        <stp>CIEL3_B_0</stp>
        <stp>MIN</stp>
        <tr r="AS8" s="2"/>
        <tr r="I6" s="5"/>
      </tp>
      <tp>
        <v>10.7</v>
        <stp/>
        <stp>CMIG4_B_0</stp>
        <stp>ABE</stp>
        <tr r="G21" s="5"/>
        <tr r="AQ23" s="2"/>
      </tp>
      <tp t="s">
        <v>09:23:05</v>
        <stp/>
        <stp>INDFUT_F_0</stp>
        <stp>HOR</stp>
        <tr r="AO17" s="2"/>
        <tr r="E15" s="5"/>
      </tp>
      <tp>
        <v>-10.105393676379409</v>
        <stp/>
        <stp>RAIL3_B_0</stp>
        <stp>ANO</stp>
        <tr r="BR60" s="2"/>
        <tr r="AH58" s="5"/>
      </tp>
      <tp>
        <v>34710</v>
        <stp/>
        <stp>MRFG3_B_0</stp>
        <stp>NEG</stp>
        <tr r="P66" s="5"/>
        <tr r="AZ68" s="2"/>
      </tp>
      <tp>
        <v>-12.593984962406013</v>
        <stp/>
        <stp>USIM5_B_0</stp>
        <stp>ANO</stp>
        <tr r="BR29" s="2"/>
        <tr r="AH27" s="5"/>
      </tp>
      <tp>
        <v>-1.9259259259259243</v>
        <stp/>
        <stp>BEEF3_B_0</stp>
        <stp>MES</stp>
        <tr r="AD65" s="5"/>
        <tr r="BN67" s="2"/>
      </tp>
      <tp>
        <v>26.66</v>
        <stp/>
        <stp>MDIA3_B_0</stp>
        <stp>ABE</stp>
        <tr r="G76" s="5"/>
        <tr r="AQ78" s="2"/>
      </tp>
      <tp>
        <v>6.590736123542797</v>
        <stp/>
        <stp>BEEF3_B_0</stp>
        <stp>MED</stp>
        <tr r="N65" s="5"/>
        <tr r="AX67" s="2"/>
      </tp>
      <tp t="s">
        <v>-</v>
        <stp/>
        <stp>GOAU4_B_0</stp>
        <stp>GAMA</stp>
        <tr r="CB19" s="2"/>
        <tr r="AR17" s="5"/>
      </tp>
      <tp>
        <v>15.5</v>
        <stp/>
        <stp>RAIL3_B_0</stp>
        <stp>ABE</stp>
        <tr r="G58" s="5"/>
        <tr r="AQ60" s="2"/>
      </tp>
      <tp t="s">
        <v>09:23:25</v>
        <stp/>
        <stp>DOLFUT_F_0</stp>
        <stp>HOR</stp>
        <tr r="AO15" s="2"/>
        <tr r="E13" s="5"/>
      </tp>
      <tp>
        <v>4.46</v>
        <stp/>
        <stp>USIM5_B_0</stp>
        <stp>ABE</stp>
        <tr r="G27" s="5"/>
        <tr r="AQ29" s="2"/>
      </tp>
      <tp>
        <v>14.46</v>
        <stp/>
        <stp>LREN3_B_0</stp>
        <stp>MAX</stp>
        <tr r="AR34" s="2"/>
        <tr r="H32" s="5"/>
      </tp>
      <tp>
        <v>13.82</v>
        <stp/>
        <stp>TTEN3_B_0</stp>
        <stp>MAX</stp>
        <tr r="AR84" s="2"/>
        <tr r="H82" s="5"/>
      </tp>
      <tp>
        <v>6.39</v>
        <stp/>
        <stp>BEEF3_B_0</stp>
        <stp>MIN</stp>
        <tr r="I65" s="5"/>
        <tr r="AS67" s="2"/>
      </tp>
      <tp>
        <v>43.977250060097084</v>
        <stp/>
        <stp>MDIA3_B_0</stp>
        <stp>ANO</stp>
        <tr r="BR78" s="2"/>
        <tr r="AH76" s="5"/>
      </tp>
      <tp>
        <v>8.7100000000000009</v>
        <stp/>
        <stp>RANI3_B_0</stp>
        <stp>FEC</stp>
        <tr r="AT85" s="2"/>
        <tr r="J83" s="5"/>
        <tr r="AT92" s="2"/>
        <tr r="AT91" s="2"/>
        <tr r="AT90" s="2"/>
        <tr r="AT89" s="2"/>
        <tr r="AT88" s="2"/>
        <tr r="AT87" s="2"/>
        <tr r="AT86" s="2"/>
      </tp>
      <tp>
        <v>0</v>
        <stp/>
        <stp>CIEL3_B_0</stp>
        <stp>MAX</stp>
        <tr r="AR8" s="2"/>
        <tr r="H6" s="5"/>
      </tp>
      <tp t="s">
        <v>14/10/2025</v>
        <stp/>
        <stp>JALL3_B_0</stp>
        <stp>DAT</stp>
        <tr r="D67" s="5"/>
        <tr r="AN69" s="2"/>
      </tp>
      <tp>
        <v>0</v>
        <stp/>
        <stp>CMIG4_B_0</stp>
        <stp>AJU</stp>
        <tr r="BH23" s="2"/>
        <tr r="X21" s="5"/>
      </tp>
      <tp t="s">
        <v>-</v>
        <stp/>
        <stp>MGLU3_B_0</stp>
        <stp>GAMA</stp>
        <tr r="CB35" s="2"/>
        <tr r="AR33" s="5"/>
      </tp>
      <tp>
        <v>0</v>
        <stp/>
        <stp>CMIG4_B_0</stp>
        <stp>AJA</stp>
        <tr r="BI23" s="2"/>
        <tr r="Y21" s="5"/>
      </tp>
      <tp t="s">
        <v>-</v>
        <stp/>
        <stp>SUZB3_B_0</stp>
        <stp>RHO</stp>
        <tr r="AT23" s="5"/>
        <tr r="CD25" s="2"/>
      </tp>
      <tp>
        <v>0</v>
        <stp/>
        <stp>MDIA3_B_0</stp>
        <stp>AJU</stp>
        <tr r="BH78" s="2"/>
        <tr r="X76" s="5"/>
      </tp>
      <tp>
        <v>-5.3536021150033077</v>
        <stp/>
        <stp>LREN3_B_0</stp>
        <stp>MES</stp>
        <tr r="BN34" s="2"/>
        <tr r="AD32" s="5"/>
      </tp>
      <tp>
        <v>13.733078909868187</v>
        <stp/>
        <stp>TTEN3_B_0</stp>
        <stp>MED</stp>
        <tr r="AX84" s="2"/>
        <tr r="N82" s="5"/>
      </tp>
      <tp>
        <v>14.289583561238821</v>
        <stp/>
        <stp>LREN3_B_0</stp>
        <stp>MED</stp>
        <tr r="AX34" s="2"/>
        <tr r="N32" s="5"/>
      </tp>
      <tp>
        <v>0</v>
        <stp/>
        <stp>MDIA3_B_0</stp>
        <stp>AJA</stp>
        <tr r="BI78" s="2"/>
        <tr r="Y76" s="5"/>
      </tp>
      <tp>
        <v>-1.6452074391988585</v>
        <stp/>
        <stp>TTEN3_B_0</stp>
        <stp>MES</stp>
        <tr r="BN84" s="2"/>
        <tr r="AD82" s="5"/>
      </tp>
      <tp>
        <v>1070854</v>
        <stp/>
        <stp>IBOV_B_0</stp>
        <stp>NEG</stp>
        <tr r="AZ6" s="2"/>
        <tr r="P4" s="5"/>
      </tp>
      <tp>
        <v>0</v>
        <stp/>
        <stp>CIEL3_B_0</stp>
        <stp>MES</stp>
        <tr r="BN8" s="2"/>
        <tr r="AD6" s="5"/>
      </tp>
      <tp>
        <v>7.7073013895447655</v>
        <stp/>
        <stp>CMIG4_B_0</stp>
        <stp>ANO</stp>
        <tr r="BR23" s="2"/>
        <tr r="AH21" s="5"/>
      </tp>
      <tp>
        <v>0</v>
        <stp/>
        <stp>CIEL3_B_0</stp>
        <stp>MED</stp>
        <tr r="AX8" s="2"/>
        <tr r="N6" s="5"/>
      </tp>
      <tp t="s">
        <v>31/10/2024</v>
        <stp/>
        <stp>WDOX24_F_0</stp>
        <stp>VAL</stp>
        <tr r="BV56" s="2"/>
        <tr r="AL54" s="5"/>
      </tp>
      <tp>
        <v>0</v>
        <stp/>
        <stp>WINM24_F_0</stp>
        <stp>CAB</stp>
        <tr r="BW40" s="2"/>
        <tr r="AM38" s="5"/>
      </tp>
      <tp>
        <v>0</v>
        <stp/>
        <stp>WDOM24_F_0</stp>
        <stp>CAB</stp>
        <tr r="BW49" s="2"/>
        <tr r="AM47" s="5"/>
      </tp>
      <tp t="s">
        <v>30/12/1899</v>
        <stp/>
        <stp>WINJ24_F_0</stp>
        <stp>DAT</stp>
        <tr r="AN38" s="2"/>
        <tr r="D36" s="5"/>
      </tp>
      <tp t="s">
        <v>30/12/1899</v>
        <stp/>
        <stp>WDOJ24_F_0</stp>
        <stp>DAT</stp>
        <tr r="D49" s="5"/>
        <tr r="AN51" s="2"/>
      </tp>
      <tp>
        <v>0</v>
        <stp/>
        <stp>WDOX24_F_0</stp>
        <stp>VAR</stp>
        <tr r="AV56" s="2"/>
        <tr r="L54" s="5"/>
      </tp>
      <tp t="s">
        <v>01/11/2024</v>
        <stp/>
        <stp>WDOX24_F_0</stp>
        <stp>VEN</stp>
        <tr r="BU56" s="2"/>
        <tr r="AK54" s="5"/>
      </tp>
      <tp>
        <v>0</v>
        <stp/>
        <stp>WDOH24_F_0</stp>
        <stp>FEC</stp>
        <tr r="AT52" s="2"/>
        <tr r="J50" s="5"/>
      </tp>
      <tp t="s">
        <v>-</v>
        <stp/>
        <stp>WDOX24_F_0</stp>
        <stp>VIA</stp>
        <tr r="CF56" s="2"/>
        <tr r="AV54" s="5"/>
      </tp>
      <tp t="s">
        <v>-</v>
        <stp/>
        <stp>WDOX24_F_0</stp>
        <stp>VIB</stp>
        <tr r="CG56" s="2"/>
        <tr r="AW54" s="5"/>
      </tp>
      <tp>
        <v>0</v>
        <stp/>
        <stp>WDOX24_F_0</stp>
        <stp>VOL</stp>
        <tr r="BC56" s="2"/>
        <tr r="S54" s="5"/>
      </tp>
      <tp>
        <v>0</v>
        <stp/>
        <stp>WDOX24_F_0</stp>
        <stp>VOC</stp>
        <tr r="BF56" s="2"/>
        <tr r="V54" s="5"/>
      </tp>
      <tp>
        <v>0</v>
        <stp/>
        <stp>WDOX24_F_0</stp>
        <stp>VOV</stp>
        <tr r="BG56" s="2"/>
        <tr r="W54" s="5"/>
      </tp>
      <tp t="s">
        <v>NONE</v>
        <stp/>
        <stp>WDOK24_F_0</stp>
        <stp>EST</stp>
        <tr r="BX39" s="2"/>
        <tr r="AN37" s="5"/>
      </tp>
      <tp>
        <v>0</v>
        <stp/>
        <stp>WDOX24_F_0</stp>
        <stp>VPJ</stp>
        <tr r="BL56" s="2"/>
        <tr r="AB54" s="5"/>
      </tp>
      <tp t="s">
        <v>14/10/2025</v>
        <stp/>
        <stp>KLBN11_B_0</stp>
        <stp>DAT</stp>
        <tr r="D80" s="5"/>
        <tr r="AN82" s="2"/>
      </tp>
      <tp>
        <v>0</v>
        <stp/>
        <stp>INDM24_F_0</stp>
        <stp>CAB</stp>
        <tr r="AM43" s="5"/>
        <tr r="BW45" s="2"/>
      </tp>
      <tp t="s">
        <v>-</v>
        <stp/>
        <stp>RENT3_B_0</stp>
        <stp>DOBRAR</stp>
        <tr r="CH24" s="2"/>
        <tr r="AX22" s="5"/>
      </tp>
      <tp>
        <v>0.18000000000000149</v>
        <stp/>
        <stp>MGLU3_B_0</stp>
        <stp>VARPTS</stp>
        <tr r="AW35" s="2"/>
        <tr r="M33" s="5"/>
      </tp>
      <tp t="s">
        <v>-</v>
        <stp/>
        <stp>BEEF3_B_0</stp>
        <stp>DOBRAR</stp>
        <tr r="AX65" s="5"/>
        <tr r="CH67" s="2"/>
      </tp>
      <tp>
        <v>-1.0000000000001563E-2</v>
        <stp/>
        <stp>GGBR4_B_0</stp>
        <stp>VARPTS</stp>
        <tr r="AW13" s="2"/>
        <tr r="M11" s="5"/>
      </tp>
      <tp>
        <v>-5.9999999999998721E-2</v>
        <stp/>
        <stp>AGRO3_B_0</stp>
        <stp>VARPTS</stp>
        <tr r="AW71" s="2"/>
        <tr r="M69" s="5"/>
      </tp>
      <tp t="s">
        <v>-</v>
        <stp/>
        <stp>PETR4_B_0</stp>
        <stp>DOBRAR</stp>
        <tr r="CH11" s="2"/>
        <tr r="AX9" s="5"/>
      </tp>
      <tp t="s">
        <v>-</v>
        <stp/>
        <stp>KEPL3_B_0</stp>
        <stp>DOBRAR</stp>
        <tr r="CH73" s="2"/>
        <tr r="AX71" s="5"/>
      </tp>
      <tp>
        <v>2.3969408692408134</v>
        <stp/>
        <stp>DOLPRO_#_0</stp>
        <stp>TRIM</stp>
        <tr r="AI44" s="5"/>
        <tr r="BS46" s="2"/>
      </tp>
      <tp t="s">
        <v>Pré-Fechamento</v>
        <stp/>
        <stp>VALE3_B_0</stp>
        <stp>EST</stp>
        <tr r="BX12" s="2"/>
        <tr r="AN10" s="5"/>
      </tp>
      <tp>
        <v>24.060000000000002</v>
        <stp/>
        <stp>ALOS3_B_0</stp>
        <stp>FEC</stp>
        <tr r="J6" s="2"/>
      </tp>
      <tp t="s">
        <v>-</v>
        <stp/>
        <stp>VIVT3_B_0</stp>
        <stp>GAMA</stp>
        <tr r="CB9" s="2"/>
        <tr r="AR7" s="5"/>
      </tp>
      <tp>
        <v>39.75</v>
        <stp/>
        <stp>RDOR3_B_0</stp>
        <stp>FEC</stp>
        <tr r="J68" s="2"/>
      </tp>
      <tp>
        <v>7.49</v>
        <stp/>
        <stp>ECOR3_B_0</stp>
        <stp>FEC</stp>
        <tr r="AT7" s="2"/>
        <tr r="J5" s="5"/>
      </tp>
      <tp>
        <v>0</v>
        <stp/>
        <stp>CRFB3_B_0</stp>
        <stp>OVD</stp>
        <tr r="BE63" s="2"/>
        <tr r="U61" s="5"/>
      </tp>
      <tp t="s">
        <v>-</v>
        <stp/>
        <stp>HBSA3_B_0</stp>
        <stp>IMPVT</stp>
        <tr r="BZ58" s="2"/>
        <tr r="AP56" s="5"/>
      </tp>
      <tp t="s">
        <v>-</v>
        <stp/>
        <stp>RAPT4_B_0</stp>
        <stp>GAMA</stp>
        <tr r="CB76" s="2"/>
        <tr r="AR74" s="5"/>
      </tp>
      <tp t="s">
        <v>-</v>
        <stp/>
        <stp>RENT3_B_0</stp>
        <stp>GAMA</stp>
        <tr r="CB24" s="2"/>
        <tr r="AR22" s="5"/>
      </tp>
      <tp>
        <v>0</v>
        <stp/>
        <stp>BRFS3_B_0</stp>
        <stp>OCP</stp>
        <tr r="BD33" s="2"/>
        <tr r="T31" s="5"/>
      </tp>
      <tp t="s">
        <v>-</v>
        <stp/>
        <stp>BRAP4_B_0</stp>
        <stp>VEXT</stp>
        <tr r="CK30" s="2"/>
        <tr r="BA28" s="5"/>
      </tp>
      <tp>
        <v>0</v>
        <stp/>
        <stp>MRFG3_B_0</stp>
        <stp>OVD</stp>
        <tr r="U66" s="5"/>
        <tr r="BE68" s="2"/>
      </tp>
      <tp t="s">
        <v>Pré-Fechamento</v>
        <stp/>
        <stp>JALL3_B_0</stp>
        <stp>EST</stp>
        <tr r="BX69" s="2"/>
        <tr r="AN67" s="5"/>
      </tp>
      <tp t="s">
        <v>17:07:57</v>
        <stp/>
        <stp>BRAP4_B_0</stp>
        <stp>HOR</stp>
        <tr r="AO30" s="2"/>
        <tr r="E28" s="5"/>
      </tp>
      <tp>
        <v>0</v>
        <stp/>
        <stp>ARZZ3_B_0</stp>
        <stp>SEM</stp>
        <tr r="BM72" s="2"/>
        <tr r="AC70" s="5"/>
      </tp>
      <tp t="s">
        <v>17:58:32</v>
        <stp/>
        <stp>BBAS3_B_0</stp>
        <stp>HOR</stp>
        <tr r="E12" s="5"/>
        <tr r="AO14" s="2"/>
      </tp>
      <tp t="s">
        <v>17:07:40</v>
        <stp/>
        <stp>PCAR3_B_0</stp>
        <stp>HOR</stp>
        <tr r="E68" s="5"/>
        <tr r="AO70" s="2"/>
      </tp>
      <tp t="s">
        <v>17:59:53</v>
        <stp/>
        <stp>GOAU4_B_0</stp>
        <stp>HOR</stp>
        <tr r="E17" s="5"/>
        <tr r="AO19" s="2"/>
      </tp>
      <tp t="s">
        <v>17:54:57</v>
        <stp/>
        <stp>GMAT3_B_0</stp>
        <stp>HOR</stp>
        <tr r="E57" s="5"/>
        <tr r="AO59" s="2"/>
      </tp>
      <tp>
        <v>0</v>
        <stp/>
        <stp>IBOV_B_0</stp>
        <stp>OVD</stp>
        <tr r="BE6" s="2"/>
        <tr r="U4" s="5"/>
      </tp>
      <tp t="s">
        <v>Pré-Fechamento</v>
        <stp/>
        <stp>MGLU3_B_0</stp>
        <stp>EST</stp>
        <tr r="BX35" s="2"/>
        <tr r="AN33" s="5"/>
      </tp>
      <tp t="s">
        <v>17:07:45</v>
        <stp/>
        <stp>ASAI3_B_0</stp>
        <stp>HOR</stp>
        <tr r="AO61" s="2"/>
        <tr r="E59" s="5"/>
      </tp>
      <tp>
        <v>-2.9060293318848465</v>
        <stp/>
        <stp>BBDC4_B_0</stp>
        <stp>MES</stp>
        <tr r="BN27" s="2"/>
        <tr r="AD25" s="5"/>
      </tp>
      <tp>
        <v>17.214006561597714</v>
        <stp/>
        <stp>BBDC4_B_0</stp>
        <stp>MED</stp>
        <tr r="AX27" s="2"/>
        <tr r="N25" s="5"/>
      </tp>
      <tp>
        <v>-0.41502386387217854</v>
        <stp/>
        <stp>SUZB3_B_0</stp>
        <stp>SEM</stp>
        <tr r="BM25" s="2"/>
        <tr r="AC23" s="5"/>
      </tp>
      <tp t="s">
        <v>-</v>
        <stp/>
        <stp>GMAT3_B_0</stp>
        <stp>GAMA</stp>
        <tr r="CB59" s="2"/>
        <tr r="AR57" s="5"/>
      </tp>
      <tp>
        <v>0</v>
        <stp/>
        <stp>MRFG3_B_0</stp>
        <stp>OCP</stp>
        <tr r="T66" s="5"/>
        <tr r="BD68" s="2"/>
      </tp>
      <tp>
        <v>-46.666666666666671</v>
        <stp/>
        <stp>RAIZ4_B_0</stp>
        <stp>SEMES</stp>
        <tr r="BT77" s="2"/>
        <tr r="AJ75" s="5"/>
      </tp>
      <tp>
        <v>-40.628507295173961</v>
        <stp/>
        <stp>RAPT4_B_0</stp>
        <stp>SEMES</stp>
        <tr r="BT76" s="2"/>
        <tr r="AJ74" s="5"/>
      </tp>
      <tp>
        <v>0</v>
        <stp/>
        <stp>BRFS3_B_0</stp>
        <stp>OVD</stp>
        <tr r="BE33" s="2"/>
        <tr r="U31" s="5"/>
      </tp>
      <tp>
        <v>17.350000000000001</v>
        <stp/>
        <stp>BBDC4_B_0</stp>
        <stp>MAX</stp>
        <tr r="AR27" s="2"/>
        <tr r="H25" s="5"/>
      </tp>
      <tp>
        <v>-3.8565022421524637</v>
        <stp/>
        <stp>CMIG4_B_0</stp>
        <stp>TRIM</stp>
        <tr r="BS23" s="2"/>
        <tr r="AI21" s="5"/>
      </tp>
      <tp t="s">
        <v>-</v>
        <stp/>
        <stp>TTEN3_B_0</stp>
        <stp>DELTA</stp>
        <tr r="CA84" s="2"/>
        <tr r="AQ82" s="5"/>
      </tp>
      <tp>
        <v>0</v>
        <stp/>
        <stp>CRFB3_B_0</stp>
        <stp>OCP</stp>
        <tr r="T61" s="5"/>
        <tr r="BD63" s="2"/>
      </tp>
      <tp t="s">
        <v>17:07:00</v>
        <stp/>
        <stp>CSAN3_B_0</stp>
        <stp>HOR</stp>
        <tr r="AO62" s="2"/>
        <tr r="E60" s="5"/>
      </tp>
      <tp t="s">
        <v>-</v>
        <stp/>
        <stp>TUPY3_B_0</stp>
        <stp>DELTA</stp>
        <tr r="CA81" s="2"/>
        <tr r="AQ79" s="5"/>
      </tp>
      <tp t="s">
        <v>14/10/2025</v>
        <stp/>
        <stp>VAMO3_B_0</stp>
        <stp>DAT</stp>
        <tr r="D72" s="5"/>
        <tr r="AN74" s="2"/>
      </tp>
      <tp t="s">
        <v>-</v>
        <stp/>
        <stp>BRAP4_B_0</stp>
        <stp>VEGA</stp>
        <tr r="CE30" s="2"/>
        <tr r="AU28" s="5"/>
      </tp>
      <tp t="s">
        <v>14/10/2025</v>
        <stp/>
        <stp>CAML3_B_0</stp>
        <stp>DAT</stp>
        <tr r="D81" s="5"/>
        <tr r="AN83" s="2"/>
      </tp>
      <tp t="s">
        <v>14/10/2025</v>
        <stp/>
        <stp>ARML3_B_0</stp>
        <stp>DAT</stp>
        <tr r="D78" s="5"/>
        <tr r="AN80" s="2"/>
      </tp>
      <tp>
        <v>0</v>
        <stp/>
        <stp>IBOV_B_0</stp>
        <stp>OCP</stp>
        <tr r="BD6" s="2"/>
        <tr r="T4" s="5"/>
      </tp>
      <tp>
        <v>16.97</v>
        <stp/>
        <stp>BBDC4_B_0</stp>
        <stp>MIN</stp>
        <tr r="AS27" s="2"/>
        <tr r="I25" s="5"/>
      </tp>
      <tp>
        <v>0</v>
        <stp/>
        <stp>MRFG3_B_0</stp>
        <stp>TRIM</stp>
        <tr r="AI66" s="5"/>
        <tr r="BS68" s="2"/>
      </tp>
      <tp t="s">
        <v>-</v>
        <stp/>
        <stp>DOLPT_E_0</stp>
        <stp>VEXT</stp>
        <tr r="CK16" s="2"/>
        <tr r="BA14" s="5"/>
      </tp>
      <tp>
        <v>0</v>
        <stp/>
        <stp>WDON24_F_0</stp>
        <stp>ABE</stp>
        <tr r="AQ50" s="2"/>
        <tr r="G48" s="5"/>
      </tp>
      <tp t="s">
        <v>30/12/1899</v>
        <stp/>
        <stp>WDOK24_F_0</stp>
        <stp>DAT</stp>
        <tr r="D37" s="5"/>
        <tr r="AN39" s="2"/>
      </tp>
      <tp>
        <v>0</v>
        <stp/>
        <stp>WDON24_F_0</stp>
        <stp>AJA</stp>
        <tr r="BI50" s="2"/>
        <tr r="Y48" s="5"/>
      </tp>
      <tp>
        <v>0</v>
        <stp/>
        <stp>WDON24_F_0</stp>
        <stp>AJU</stp>
        <tr r="BH50" s="2"/>
        <tr r="X48" s="5"/>
      </tp>
      <tp>
        <v>0</v>
        <stp/>
        <stp>WDON24_F_0</stp>
        <stp>ANO</stp>
        <tr r="BR50" s="2"/>
        <tr r="AH48" s="5"/>
      </tp>
      <tp t="s">
        <v>00:00:00</v>
        <stp/>
        <stp>WING24_F_0</stp>
        <stp>HOR</stp>
        <tr r="E40" s="5"/>
        <tr r="AO42" s="2"/>
      </tp>
      <tp t="s">
        <v>00:00:00</v>
        <stp/>
        <stp>WDOG24_F_0</stp>
        <stp>HOR</stp>
        <tr r="E51" s="5"/>
        <tr r="AO53" s="2"/>
      </tp>
      <tp t="s">
        <v>Pré-Fechamento</v>
        <stp/>
        <stp>KLBN11_B_0</stp>
        <stp>EST</stp>
        <tr r="BX82" s="2"/>
        <tr r="AN80" s="5"/>
      </tp>
      <tp>
        <v>0</v>
        <stp/>
        <stp>WINZ24_F_0</stp>
        <stp>ULT</stp>
        <tr r="F41" s="5"/>
        <tr r="AP43" s="2"/>
      </tp>
      <tp t="s">
        <v>NONE</v>
        <stp/>
        <stp>WINJ24_F_0</stp>
        <stp>EST</stp>
        <tr r="BX38" s="2"/>
        <tr r="AN36" s="5"/>
      </tp>
      <tp t="s">
        <v>NONE</v>
        <stp/>
        <stp>WDOJ24_F_0</stp>
        <stp>EST</stp>
        <tr r="BX51" s="2"/>
        <tr r="AN49" s="5"/>
      </tp>
      <tp t="s">
        <v>-</v>
        <stp/>
        <stp>DOLPT_E_0</stp>
        <stp>VEGA</stp>
        <tr r="CE16" s="2"/>
        <tr r="AU14" s="5"/>
      </tp>
      <tp>
        <v>-7.0000000000000284E-2</v>
        <stp/>
        <stp>KLBN11_B_0</stp>
        <stp>VARPTS</stp>
        <tr r="AW82" s="2"/>
        <tr r="M80" s="5"/>
      </tp>
      <tp t="s">
        <v>-</v>
        <stp/>
        <stp>MDIA3_B_0</stp>
        <stp>DOBRAR</stp>
        <tr r="CH78" s="2"/>
        <tr r="AX76" s="5"/>
      </tp>
      <tp>
        <v>-4.0000000000000036E-2</v>
        <stp/>
        <stp>GFSA3_B_0</stp>
        <stp>VARPTS</stp>
        <tr r="AW22" s="2"/>
        <tr r="M20" s="5"/>
      </tp>
      <tp t="s">
        <v>-</v>
        <stp/>
        <stp>WDOFUT_F_0</stp>
        <stp>GAMA</stp>
        <tr r="CB37" s="2"/>
        <tr r="AR35" s="5"/>
      </tp>
      <tp t="s">
        <v>-</v>
        <stp/>
        <stp>WINFUT_F_0</stp>
        <stp>GAMA</stp>
        <tr r="CB36" s="2"/>
        <tr r="AR34" s="5"/>
      </tp>
      <tp>
        <v>2.4255994029293779</v>
        <stp/>
        <stp>DOLFUT_F_0</stp>
        <stp>TRIM</stp>
        <tr r="BS15" s="2"/>
        <tr r="AI13" s="5"/>
      </tp>
      <tp>
        <v>463297</v>
        <stp/>
        <stp>WINFUT_F_0</stp>
        <stp>NEG</stp>
        <tr r="AZ36" s="2"/>
        <tr r="P34" s="5"/>
      </tp>
      <tp>
        <v>72872</v>
        <stp/>
        <stp>WDOFUT_F_0</stp>
        <stp>NEG</stp>
        <tr r="AZ37" s="2"/>
        <tr r="P35" s="5"/>
      </tp>
      <tp>
        <v>10.15</v>
        <stp/>
        <stp>GOAU4_B_0</stp>
        <stp>OCP</stp>
        <tr r="BD19" s="2"/>
        <tr r="T17" s="5"/>
      </tp>
      <tp>
        <v>6.15</v>
        <stp/>
        <stp>GMAT3_B_0</stp>
        <stp>OCP</stp>
        <tr r="BD59" s="2"/>
        <tr r="T57" s="5"/>
      </tp>
      <tp>
        <v>17.11</v>
        <stp/>
        <stp>BRAP4_B_0</stp>
        <stp>OCP</stp>
        <tr r="BD30" s="2"/>
        <tr r="T28" s="5"/>
      </tp>
      <tp>
        <v>20.7</v>
        <stp/>
        <stp>BBAS3_B_0</stp>
        <stp>OCP</stp>
        <tr r="BD14" s="2"/>
        <tr r="T12" s="5"/>
      </tp>
      <tp>
        <v>7.47</v>
        <stp/>
        <stp>ECOR3_B_0</stp>
        <stp>ABE</stp>
        <tr r="G5" s="5"/>
        <tr r="AQ7" s="2"/>
      </tp>
      <tp>
        <v>3.74</v>
        <stp/>
        <stp>PCAR3_B_0</stp>
        <stp>OCP</stp>
        <tr r="BD70" s="2"/>
        <tr r="T68" s="5"/>
      </tp>
      <tp>
        <v>8.25</v>
        <stp/>
        <stp>ASAI3_B_0</stp>
        <stp>OVD</stp>
        <tr r="U59" s="5"/>
        <tr r="BE61" s="2"/>
      </tp>
      <tp t="s">
        <v>18:01:15</v>
        <stp/>
        <stp>BRFS3_B_0</stp>
        <stp>HOR</stp>
        <tr r="E31" s="5"/>
        <tr r="AO33" s="2"/>
      </tp>
      <tp>
        <v>83.456790123456813</v>
        <stp/>
        <stp>ECOR3_B_0</stp>
        <stp>ANO</stp>
        <tr r="BR7" s="2"/>
        <tr r="AH5" s="5"/>
      </tp>
      <tp>
        <v>0</v>
        <stp/>
        <stp>ECOR3_B_0</stp>
        <stp>AJU</stp>
        <tr r="BH7" s="2"/>
        <tr r="X5" s="5"/>
      </tp>
      <tp>
        <v>5.94</v>
        <stp/>
        <stp>CSAN3_B_0</stp>
        <stp>OVD</stp>
        <tr r="BE62" s="2"/>
        <tr r="U60" s="5"/>
      </tp>
      <tp>
        <v>0</v>
        <stp/>
        <stp>ECOR3_B_0</stp>
        <stp>AJA</stp>
        <tr r="BI7" s="2"/>
        <tr r="Y5" s="5"/>
      </tp>
      <tp t="s">
        <v>-</v>
        <stp/>
        <stp>SLCE3_B_0</stp>
        <stp>DELTA</stp>
        <tr r="CA79" s="2"/>
        <tr r="AQ77" s="5"/>
      </tp>
      <tp t="s">
        <v>-</v>
        <stp/>
        <stp>SMTO3_B_0</stp>
        <stp>DELTA</stp>
        <tr r="AQ64" s="5"/>
        <tr r="CA66" s="2"/>
      </tp>
      <tp>
        <v>4.97</v>
        <stp/>
        <stp>DXCO3_B_0</stp>
        <stp>MIN</stp>
        <tr r="AS75" s="2"/>
        <tr r="I73" s="5"/>
      </tp>
      <tp>
        <v>17.3</v>
        <stp/>
        <stp>BRAP4_B_0</stp>
        <stp>OVD</stp>
        <tr r="BE30" s="2"/>
        <tr r="U28" s="5"/>
      </tp>
      <tp>
        <v>-38.235294117647058</v>
        <stp/>
        <stp>RCSL3_B_0</stp>
        <stp>SEMES</stp>
        <tr r="BT65" s="2"/>
        <tr r="AJ63" s="5"/>
      </tp>
      <tp t="s">
        <v>-</v>
        <stp/>
        <stp>USIM5_B_0</stp>
        <stp>DELTA</stp>
        <tr r="CA29" s="2"/>
        <tr r="AQ27" s="5"/>
      </tp>
      <tp>
        <v>3.7800000000000002</v>
        <stp/>
        <stp>PCAR3_B_0</stp>
        <stp>OVD</stp>
        <tr r="U68" s="5"/>
        <tr r="BE70" s="2"/>
      </tp>
      <tp>
        <v>15.76</v>
        <stp/>
        <stp>SLCE3_B_0</stp>
        <stp>MAX</stp>
        <tr r="AR79" s="2"/>
        <tr r="H77" s="5"/>
      </tp>
      <tp>
        <v>-17.053426875337291</v>
        <stp/>
        <stp>RAIL3_B_0</stp>
        <stp>SEMES</stp>
        <tr r="BT60" s="2"/>
        <tr r="AJ58" s="5"/>
      </tp>
      <tp>
        <v>23.611808694681635</v>
        <stp/>
        <stp>RANI3_B_0</stp>
        <stp>SEMES</stp>
        <tr r="BT85" s="2"/>
        <tr r="AJ83" s="5"/>
        <tr r="BT92" s="2"/>
        <tr r="BT91" s="2"/>
        <tr r="BT89" s="2"/>
        <tr r="BT90" s="2"/>
        <tr r="BT88" s="2"/>
        <tr r="BT87" s="2"/>
        <tr r="BT86" s="2"/>
      </tp>
      <tp>
        <v>1343</v>
        <stp/>
        <stp>DOLFUT_F_0</stp>
        <stp>NEG</stp>
        <tr r="AZ15" s="2"/>
        <tr r="P13" s="5"/>
      </tp>
      <tp>
        <v>20.85</v>
        <stp/>
        <stp>BBAS3_B_0</stp>
        <stp>OVD</stp>
        <tr r="BE14" s="2"/>
        <tr r="U12" s="5"/>
      </tp>
      <tp t="s">
        <v>-</v>
        <stp/>
        <stp>BRFS3_B_0</stp>
        <stp>GAMA</stp>
        <tr r="CB33" s="2"/>
        <tr r="AR31" s="5"/>
      </tp>
      <tp t="s">
        <v>-</v>
        <stp/>
        <stp>BBAS3_B_0</stp>
        <stp>GAMA</stp>
        <tr r="CB14" s="2"/>
        <tr r="AR12" s="5"/>
      </tp>
      <tp>
        <v>6.25</v>
        <stp/>
        <stp>GMAT3_B_0</stp>
        <stp>OVD</stp>
        <tr r="BE59" s="2"/>
        <tr r="U57" s="5"/>
      </tp>
      <tp>
        <v>10.290000000000001</v>
        <stp/>
        <stp>GOAU4_B_0</stp>
        <stp>OVD</stp>
        <tr r="BE19" s="2"/>
        <tr r="U17" s="5"/>
      </tp>
      <tp t="s">
        <v>Fechado</v>
        <stp/>
        <stp>DOLPT_E_0</stp>
        <stp>EST</stp>
        <tr r="BX16" s="2"/>
        <tr r="AN14" s="5"/>
      </tp>
      <tp>
        <v>15.669188390217684</v>
        <stp/>
        <stp>SLCE3_B_0</stp>
        <stp>MED</stp>
        <tr r="AX79" s="2"/>
        <tr r="N77" s="5"/>
      </tp>
      <tp>
        <v>-4.3875685557586763</v>
        <stp/>
        <stp>SLCE3_B_0</stp>
        <stp>MES</stp>
        <tr r="BN79" s="2"/>
        <tr r="AD77" s="5"/>
      </tp>
      <tp>
        <v>-10.501759025923791</v>
        <stp/>
        <stp>RENT3_B_0</stp>
        <stp>SEMES</stp>
        <tr r="BT24" s="2"/>
        <tr r="AJ22" s="5"/>
      </tp>
      <tp t="s">
        <v>17:22:00</v>
        <stp/>
        <stp>IBOV_B_0</stp>
        <stp>HOR</stp>
        <tr r="E4" s="5"/>
        <tr r="AO6" s="2"/>
      </tp>
      <tp t="s">
        <v>-</v>
        <stp/>
        <stp>SUZB3_B_0</stp>
        <stp>DELTA</stp>
        <tr r="CA25" s="2"/>
        <tr r="AQ23" s="5"/>
      </tp>
      <tp>
        <v>5.1100000000000003</v>
        <stp/>
        <stp>DXCO3_B_0</stp>
        <stp>MAX</stp>
        <tr r="AR75" s="2"/>
        <tr r="H73" s="5"/>
      </tp>
      <tp>
        <v>0</v>
        <stp/>
        <stp>VAMO3_B_0</stp>
        <stp>CAB</stp>
        <tr r="BW74" s="2"/>
        <tr r="AM72" s="5"/>
      </tp>
      <tp>
        <v>15.61</v>
        <stp/>
        <stp>SLCE3_B_0</stp>
        <stp>MIN</stp>
        <tr r="AS79" s="2"/>
        <tr r="I77" s="5"/>
      </tp>
      <tp>
        <v>5.84</v>
        <stp/>
        <stp>CSAN3_B_0</stp>
        <stp>OCP</stp>
        <tr r="BD62" s="2"/>
        <tr r="T60" s="5"/>
      </tp>
      <tp t="s">
        <v>00:00:00</v>
        <stp/>
        <stp>CRFB3_B_0</stp>
        <stp>HOR</stp>
        <tr r="AO63" s="2"/>
        <tr r="E61" s="5"/>
      </tp>
      <tp>
        <v>0</v>
        <stp/>
        <stp>ARML3_B_0</stp>
        <stp>CAB</stp>
        <tr r="BW80" s="2"/>
        <tr r="AM78" s="5"/>
      </tp>
      <tp>
        <v>0</v>
        <stp/>
        <stp>CAML3_B_0</stp>
        <stp>CAB</stp>
        <tr r="BW83" s="2"/>
        <tr r="AM81" s="5"/>
      </tp>
      <tp>
        <v>8.08</v>
        <stp/>
        <stp>ASAI3_B_0</stp>
        <stp>OCP</stp>
        <tr r="BD61" s="2"/>
        <tr r="T59" s="5"/>
      </tp>
      <tp>
        <v>-14.310344827586208</v>
        <stp/>
        <stp>DXCO3_B_0</stp>
        <stp>MES</stp>
        <tr r="BN75" s="2"/>
        <tr r="AD73" s="5"/>
      </tp>
      <tp t="s">
        <v>-</v>
        <stp/>
        <stp>JBSS3_B_0</stp>
        <stp>GAMA</stp>
        <tr r="AR62" s="5"/>
        <tr r="CB64" s="2"/>
      </tp>
      <tp>
        <v>5.0079813296453617</v>
        <stp/>
        <stp>DXCO3_B_0</stp>
        <stp>MED</stp>
        <tr r="AX75" s="2"/>
        <tr r="N73" s="5"/>
      </tp>
      <tp>
        <v>1556</v>
        <stp/>
        <stp>INDFUT_F_0</stp>
        <stp>NEG</stp>
        <tr r="AZ17" s="2"/>
        <tr r="P15" s="5"/>
      </tp>
      <tp t="s">
        <v>18:01:15</v>
        <stp/>
        <stp>MRFG3_B_0</stp>
        <stp>HOR</stp>
        <tr r="E66" s="5"/>
        <tr r="AO68" s="2"/>
      </tp>
      <tp>
        <v>0</v>
        <stp/>
        <stp>WING24_F_0</stp>
        <stp>OCP</stp>
        <tr r="BD42" s="2"/>
        <tr r="T40" s="5"/>
      </tp>
      <tp>
        <v>0</v>
        <stp/>
        <stp>WDOG24_F_0</stp>
        <stp>OCP</stp>
        <tr r="BD53" s="2"/>
        <tr r="T51" s="5"/>
      </tp>
      <tp>
        <v>0</v>
        <stp/>
        <stp>WDOK24_F_0</stp>
        <stp>CAB</stp>
        <tr r="BW39" s="2"/>
        <tr r="AM37" s="5"/>
      </tp>
      <tp>
        <v>0</v>
        <stp/>
        <stp>WDON24_F_0</stp>
        <stp>FEC</stp>
        <tr r="AT50" s="2"/>
        <tr r="J48" s="5"/>
      </tp>
      <tp>
        <v>0</v>
        <stp/>
        <stp>WDOX24_F_0</stp>
        <stp>PEX</stp>
        <tr r="AU56" s="2"/>
        <tr r="K54" s="5"/>
      </tp>
      <tp t="s">
        <v>-</v>
        <stp/>
        <stp>WINZ24_F_0</stp>
        <stp>RHO</stp>
        <tr r="CD43" s="2"/>
        <tr r="AT41" s="5"/>
      </tp>
      <tp t="s">
        <v>NONE</v>
        <stp/>
        <stp>INDM24_F_0</stp>
        <stp>EST</stp>
        <tr r="AN43" s="5"/>
        <tr r="BX45" s="2"/>
      </tp>
      <tp>
        <v>0</v>
        <stp/>
        <stp>WDOX24_F_0</stp>
        <stp>PRT</stp>
        <tr r="BJ56" s="2"/>
        <tr r="Z54" s="5"/>
      </tp>
      <tp t="s">
        <v>NONE</v>
        <stp/>
        <stp>WINM24_F_0</stp>
        <stp>EST</stp>
        <tr r="BX40" s="2"/>
        <tr r="AN38" s="5"/>
      </tp>
      <tp t="s">
        <v>NONE</v>
        <stp/>
        <stp>WDOM24_F_0</stp>
        <stp>EST</stp>
        <tr r="BX49" s="2"/>
        <tr r="AN47" s="5"/>
      </tp>
      <tp>
        <v>0</v>
        <stp/>
        <stp>WING24_F_0</stp>
        <stp>OVD</stp>
        <tr r="BE42" s="2"/>
        <tr r="U40" s="5"/>
      </tp>
      <tp>
        <v>0</v>
        <stp/>
        <stp>WDOG24_F_0</stp>
        <stp>OVD</stp>
        <tr r="BE53" s="2"/>
        <tr r="U51" s="5"/>
      </tp>
      <tp t="s">
        <v>-</v>
        <stp/>
        <stp>ECOR3_B_0</stp>
        <stp>DOBRAR</stp>
        <tr r="CH7" s="2"/>
        <tr r="AX5" s="5"/>
      </tp>
      <tp>
        <v>-9.9999999999999645E-2</v>
        <stp/>
        <stp>RAIL3_B_0</stp>
        <stp>VARPTS</stp>
        <tr r="AW60" s="2"/>
        <tr r="M58" s="5"/>
      </tp>
      <tp>
        <v>2.9999999999999916E-2</v>
        <stp/>
        <stp>RAIZ4_B_0</stp>
        <stp>VARPTS</stp>
        <tr r="AW77" s="2"/>
        <tr r="M75" s="5"/>
      </tp>
      <tp>
        <v>0</v>
        <stp/>
        <stp>VALE3_B_0</stp>
        <stp>VARPTS</stp>
        <tr r="AW12" s="2"/>
        <tr r="M10" s="5"/>
      </tp>
      <tp>
        <v>-9.9999999999997868E-3</v>
        <stp/>
        <stp>JALL3_B_0</stp>
        <stp>VARPTS</stp>
        <tr r="M67" s="5"/>
        <tr r="AW69" s="2"/>
      </tp>
      <tp>
        <v>-7.0000000000000284E-2</v>
        <stp/>
        <stp>CAML3_B_0</stp>
        <stp>VARPTS</stp>
        <tr r="AW83" s="2"/>
        <tr r="M81" s="5"/>
      </tp>
      <tp>
        <v>-2.9999999999999805E-2</v>
        <stp/>
        <stp>VAMO3_B_0</stp>
        <stp>VARPTS</stp>
        <tr r="AW74" s="2"/>
        <tr r="M72" s="5"/>
      </tp>
      <tp>
        <v>0.15000000000000036</v>
        <stp/>
        <stp>RANI3_B_0</stp>
        <stp>VARPTS</stp>
        <tr r="AW85" s="2"/>
        <tr r="M83" s="5"/>
        <tr r="AW92" s="2"/>
        <tr r="AW87" s="2"/>
        <tr r="AW91" s="2"/>
        <tr r="AW90" s="2"/>
        <tr r="AW89" s="2"/>
        <tr r="AW88" s="2"/>
        <tr r="AW86" s="2"/>
      </tp>
      <tp t="s">
        <v>-</v>
        <stp/>
        <stp>PCAR3_B_0</stp>
        <stp>DOBRAR</stp>
        <tr r="CH70" s="2"/>
        <tr r="AX68" s="5"/>
      </tp>
      <tp>
        <v>4.9999999999999822E-2</v>
        <stp/>
        <stp>RAPT4_B_0</stp>
        <stp>VARPTS</stp>
        <tr r="AW76" s="2"/>
        <tr r="M74" s="5"/>
      </tp>
      <tp t="s">
        <v>-</v>
        <stp/>
        <stp>RCSL3_B_0</stp>
        <stp>DOBRAR</stp>
        <tr r="CH65" s="2"/>
        <tr r="AX63" s="5"/>
      </tp>
      <tp>
        <v>-11</v>
        <stp/>
        <stp>WDOFUTV_F_0</stp>
        <stp>VARPTS</stp>
        <tr r="M45" s="5"/>
        <tr r="AW47" s="2"/>
      </tp>
      <tp>
        <v>5490</v>
        <stp/>
        <stp>DOLFUT_F_0</stp>
        <stp>OVD</stp>
        <tr r="U13" s="5"/>
        <tr r="BE15" s="2"/>
      </tp>
      <tp t="s">
        <v>-</v>
        <stp/>
        <stp>RAIZ4_B_0</stp>
        <stp>VINT</stp>
        <tr r="CJ77" s="2"/>
        <tr r="AZ75" s="5"/>
      </tp>
      <tp>
        <v>35.79</v>
        <stp/>
        <stp>RENT3_B_0</stp>
        <stp>ABE</stp>
        <tr r="G22" s="5"/>
        <tr r="AQ24" s="2"/>
      </tp>
      <tp>
        <v>0</v>
        <stp/>
        <stp>ARZZ3_B_0</stp>
        <stp>ULT</stp>
        <tr r="F70" s="5"/>
        <tr r="AP72" s="2"/>
      </tp>
      <tp>
        <v>30014</v>
        <stp/>
        <stp>BBAS3_B_0</stp>
        <stp>NEG</stp>
        <tr r="AZ14" s="2"/>
        <tr r="P12" s="5"/>
      </tp>
      <tp>
        <v>12.864077669902919</v>
        <stp/>
        <stp>USIM5_B_0</stp>
        <stp>SEMES</stp>
        <tr r="BT29" s="2"/>
        <tr r="AJ27" s="5"/>
      </tp>
      <tp>
        <v>6.6225165562913997</v>
        <stp/>
        <stp>GGBR4_B_0</stp>
        <stp>MES</stp>
        <tr r="BN13" s="2"/>
        <tr r="AD11" s="5"/>
      </tp>
      <tp>
        <v>15150</v>
        <stp/>
        <stp>PCAR3_B_0</stp>
        <stp>NEG</stp>
        <tr r="AZ70" s="2"/>
        <tr r="P68" s="5"/>
      </tp>
      <tp>
        <v>2.9393448748287447</v>
        <stp/>
        <stp>EMBR3_B_0</stp>
        <stp>MES</stp>
        <tr r="BN26" s="2"/>
        <tr r="AD24" s="5"/>
      </tp>
      <tp t="s">
        <v>-</v>
        <stp/>
        <stp>PETR4_B_0</stp>
        <stp>GAMA</stp>
        <tr r="CB11" s="2"/>
        <tr r="AR9" s="5"/>
      </tp>
      <tp>
        <v>81.353820848552971</v>
        <stp/>
        <stp>EMBR3_B_0</stp>
        <stp>MED</stp>
        <tr r="AX26" s="2"/>
        <tr r="N24" s="5"/>
      </tp>
      <tp>
        <v>17.696199109446443</v>
        <stp/>
        <stp>GGBR4_B_0</stp>
        <stp>MED</stp>
        <tr r="AX13" s="2"/>
        <tr r="N11" s="5"/>
      </tp>
      <tp t="s">
        <v>-</v>
        <stp/>
        <stp>RCSL3_B_0</stp>
        <stp>DELTA</stp>
        <tr r="CA65" s="2"/>
        <tr r="AQ63" s="5"/>
      </tp>
      <tp t="s">
        <v>-</v>
        <stp/>
        <stp>ABEV3_B_0</stp>
        <stp>VEXT</stp>
        <tr r="BA18" s="5"/>
        <tr r="CK20" s="2"/>
      </tp>
      <tp>
        <v>0</v>
        <stp/>
        <stp>MGLU3_B_0</stp>
        <stp>CAB</stp>
        <tr r="BW35" s="2"/>
        <tr r="AM33" s="5"/>
      </tp>
      <tp>
        <v>2741</v>
        <stp/>
        <stp>BRAP4_B_0</stp>
        <stp>NEG</stp>
        <tr r="AZ30" s="2"/>
        <tr r="P28" s="5"/>
      </tp>
      <tp t="s">
        <v>-</v>
        <stp/>
        <stp>RANI3_B_0</stp>
        <stp>DELTA</stp>
        <tr r="CA85" s="2"/>
        <tr r="AQ83" s="5"/>
        <tr r="CA92" s="2"/>
        <tr r="CA91" s="2"/>
        <tr r="CA88" s="2"/>
        <tr r="CA90" s="2"/>
        <tr r="CA89" s="2"/>
        <tr r="CA87" s="2"/>
        <tr r="CA86" s="2"/>
      </tp>
      <tp t="s">
        <v>-</v>
        <stp/>
        <stp>RAIL3_B_0</stp>
        <stp>DELTA</stp>
        <tr r="CA60" s="2"/>
        <tr r="AQ58" s="5"/>
      </tp>
      <tp>
        <v>17.78</v>
        <stp/>
        <stp>GGBR4_B_0</stp>
        <stp>MAX</stp>
        <tr r="AR13" s="2"/>
        <tr r="H11" s="5"/>
      </tp>
      <tp>
        <v>82.66</v>
        <stp/>
        <stp>EMBR3_B_0</stp>
        <stp>MAX</stp>
        <tr r="AR26" s="2"/>
        <tr r="H24" s="5"/>
      </tp>
      <tp>
        <v>144710</v>
        <stp/>
        <stp>WINFUT_F_0</stp>
        <stp>OCP</stp>
        <tr r="BD36" s="2"/>
        <tr r="T34" s="5"/>
      </tp>
      <tp>
        <v>5489</v>
        <stp/>
        <stp>WDOFUT_F_0</stp>
        <stp>OCP</stp>
        <tr r="BD37" s="2"/>
        <tr r="T35" s="5"/>
      </tp>
      <tp t="s">
        <v>-</v>
        <stp/>
        <stp>PCAR3_B_0</stp>
        <stp>GAMA</stp>
        <tr r="CB70" s="2"/>
        <tr r="AR68" s="5"/>
      </tp>
      <tp>
        <v>7226</v>
        <stp/>
        <stp>GOAU4_B_0</stp>
        <stp>NEG</stp>
        <tr r="AZ19" s="2"/>
        <tr r="P17" s="5"/>
      </tp>
      <tp>
        <v>-6.2878344073423129</v>
        <stp/>
        <stp>SUZB3_B_0</stp>
        <stp>SEMES</stp>
        <tr r="AJ23" s="5"/>
        <tr r="BT25" s="2"/>
      </tp>
      <tp>
        <v>12969</v>
        <stp/>
        <stp>GMAT3_B_0</stp>
        <stp>NEG</stp>
        <tr r="AZ59" s="2"/>
        <tr r="P57" s="5"/>
      </tp>
      <tp t="s">
        <v>14/10/2025</v>
        <stp/>
        <stp>DOLPT_E_0</stp>
        <stp>DAT</stp>
        <tr r="D14" s="5"/>
        <tr r="AN16" s="2"/>
      </tp>
      <tp t="s">
        <v>-</v>
        <stp/>
        <stp>RENT3_B_0</stp>
        <stp>DELTA</stp>
        <tr r="CA24" s="2"/>
        <tr r="AQ22" s="5"/>
      </tp>
      <tp>
        <v>0</v>
        <stp/>
        <stp>RENT3_B_0</stp>
        <stp>AJA</stp>
        <tr r="BI24" s="2"/>
        <tr r="Y22" s="5"/>
      </tp>
      <tp>
        <v>0</v>
        <stp/>
        <stp>RENT3_B_0</stp>
        <stp>AJU</stp>
        <tr r="BH24" s="2"/>
        <tr r="X22" s="5"/>
      </tp>
      <tp>
        <v>0.85000000000000009</v>
        <stp/>
        <stp>RAIZ4_B_0</stp>
        <stp>FEC</stp>
        <tr r="J67" s="2"/>
        <tr r="AT77" s="2"/>
        <tr r="J75" s="5"/>
      </tp>
      <tp>
        <v>15.113685595545649</v>
        <stp/>
        <stp>RENT3_B_0</stp>
        <stp>ANO</stp>
        <tr r="BR24" s="2"/>
        <tr r="AH22" s="5"/>
      </tp>
      <tp t="s">
        <v>-</v>
        <stp/>
        <stp>ARZZ3_B_0</stp>
        <stp>VIVH</stp>
        <tr r="CI72" s="2"/>
        <tr r="AY70" s="5"/>
      </tp>
      <tp>
        <v>144720</v>
        <stp/>
        <stp>INDFUT_F_0</stp>
        <stp>OVD</stp>
        <tr r="U15" s="5"/>
        <tr r="BE17" s="2"/>
      </tp>
      <tp>
        <v>78.95</v>
        <stp/>
        <stp>EMBR3_B_0</stp>
        <stp>MIN</stp>
        <tr r="AS26" s="2"/>
        <tr r="I24" s="5"/>
      </tp>
      <tp>
        <v>17.54</v>
        <stp/>
        <stp>GGBR4_B_0</stp>
        <stp>MIN</stp>
        <tr r="AS13" s="2"/>
        <tr r="I11" s="5"/>
      </tp>
      <tp>
        <v>-6.3432835820895495</v>
        <stp/>
        <stp>B3SA3_B_0</stp>
        <stp>TRIM</stp>
        <tr r="BS21" s="2"/>
        <tr r="AI19" s="5"/>
      </tp>
      <tp>
        <v>42.452890861148632</v>
        <stp/>
        <stp>RANI3_B_0</stp>
        <stp>ANO</stp>
        <tr r="BR85" s="2"/>
        <tr r="AH83" s="5"/>
        <tr r="BR87" s="2"/>
        <tr r="BR92" s="2"/>
        <tr r="BR91" s="2"/>
        <tr r="BR89" s="2"/>
        <tr r="BR88" s="2"/>
        <tr r="BR90" s="2"/>
        <tr r="BR86" s="2"/>
      </tp>
      <tp>
        <v>6.9620253164557058</v>
        <stp/>
        <stp>CSNA3_B_0</stp>
        <stp>TRIM</stp>
        <tr r="BS10" s="2"/>
        <tr r="AI8" s="5"/>
      </tp>
      <tp>
        <v>0</v>
        <stp/>
        <stp>VALE3_B_0</stp>
        <stp>CAB</stp>
        <tr r="BW12" s="2"/>
        <tr r="AM10" s="5"/>
      </tp>
      <tp>
        <v>26.96</v>
        <stp/>
        <stp>MDIA3_B_0</stp>
        <stp>FEC</stp>
        <tr r="AT78" s="2"/>
        <tr r="J76" s="5"/>
      </tp>
      <tp>
        <v>144715</v>
        <stp/>
        <stp>WINFUT_F_0</stp>
        <stp>OVD</stp>
        <tr r="BE36" s="2"/>
        <tr r="U34" s="5"/>
      </tp>
      <tp>
        <v>5489.5</v>
        <stp/>
        <stp>WDOFUT_F_0</stp>
        <stp>OVD</stp>
        <tr r="BE37" s="2"/>
        <tr r="U35" s="5"/>
      </tp>
      <tp t="s">
        <v>-</v>
        <stp/>
        <stp>ECOR3_B_0</stp>
        <stp>GAMA</stp>
        <tr r="CB7" s="2"/>
        <tr r="AR5" s="5"/>
      </tp>
      <tp t="s">
        <v>-</v>
        <stp/>
        <stp>EMBR3_B_0</stp>
        <stp>GAMA</stp>
        <tr r="CB26" s="2"/>
        <tr r="AR24" s="5"/>
      </tp>
      <tp t="s">
        <v>-</v>
        <stp/>
        <stp>ARZZ3_B_0</stp>
        <stp>VINT</stp>
        <tr r="CJ72" s="2"/>
        <tr r="AZ70" s="5"/>
      </tp>
      <tp>
        <v>10.68</v>
        <stp/>
        <stp>CMIG4_B_0</stp>
        <stp>FEC</stp>
        <tr r="J22" s="2"/>
        <tr r="AT23" s="2"/>
        <tr r="J21" s="5"/>
      </tp>
      <tp t="s">
        <v>-</v>
        <stp/>
        <stp>ITUB4_B_0</stp>
        <stp>IMPVT</stp>
        <tr r="BZ32" s="2"/>
        <tr r="AP30" s="5"/>
      </tp>
      <tp t="s">
        <v>-</v>
        <stp/>
        <stp>ITSA4_B_0</stp>
        <stp>IMPVT</stp>
        <tr r="BZ31" s="2"/>
        <tr r="AP29" s="5"/>
      </tp>
      <tp>
        <v>5489</v>
        <stp/>
        <stp>DOLFUT_F_0</stp>
        <stp>OCP</stp>
        <tr r="BD15" s="2"/>
        <tr r="T13" s="5"/>
      </tp>
      <tp>
        <v>0</v>
        <stp/>
        <stp>RANI3_B_0</stp>
        <stp>AJA</stp>
        <tr r="BI85" s="2"/>
        <tr r="Y83" s="5"/>
        <tr r="BI92" s="2"/>
        <tr r="BI91" s="2"/>
        <tr r="BI90" s="2"/>
        <tr r="BI89" s="2"/>
        <tr r="BI88" s="2"/>
        <tr r="BI87" s="2"/>
        <tr r="BI86" s="2"/>
      </tp>
      <tp>
        <v>-17.980295566502473</v>
        <stp/>
        <stp>GFSA3_B_0</stp>
        <stp>TRIM</stp>
        <tr r="BS22" s="2"/>
        <tr r="AI20" s="5"/>
      </tp>
      <tp>
        <v>0</v>
        <stp/>
        <stp>RANI3_B_0</stp>
        <stp>AJU</stp>
        <tr r="BH85" s="2"/>
        <tr r="X83" s="5"/>
        <tr r="BH87" s="2"/>
        <tr r="BH92" s="2"/>
        <tr r="BH91" s="2"/>
        <tr r="BH90" s="2"/>
        <tr r="BH89" s="2"/>
        <tr r="BH88" s="2"/>
        <tr r="BH86" s="2"/>
      </tp>
      <tp>
        <v>8.2899999999999991</v>
        <stp/>
        <stp>CSNA3_B_0</stp>
        <stp>ABE</stp>
        <tr r="AQ10" s="2"/>
        <tr r="G8" s="5"/>
      </tp>
      <tp t="s">
        <v>-</v>
        <stp/>
        <stp>GGBR4_B_0</stp>
        <stp>GAMA</stp>
        <tr r="CB13" s="2"/>
        <tr r="AR11" s="5"/>
      </tp>
      <tp>
        <v>41.5</v>
        <stp/>
        <stp>EGIE3_B_0</stp>
        <stp>FEC</stp>
        <tr r="J37" s="2"/>
      </tp>
      <tp>
        <v>3569.94</v>
        <stp/>
        <stp>IFIX_B_0</stp>
        <stp>MIN</stp>
        <tr r="I46" s="5"/>
        <tr r="AS48" s="2"/>
      </tp>
      <tp>
        <v>144705</v>
        <stp/>
        <stp>INDFUT_F_0</stp>
        <stp>OCP</stp>
        <tr r="BD17" s="2"/>
        <tr r="T15" s="5"/>
      </tp>
      <tp>
        <v>47.99</v>
        <stp/>
        <stp>SUZB3_B_0</stp>
        <stp>ULT</stp>
        <tr r="K75" s="2"/>
        <tr r="AP25" s="2"/>
        <tr r="F23" s="5"/>
      </tp>
      <tp t="s">
        <v>-</v>
        <stp/>
        <stp>RAIZ4_B_0</stp>
        <stp>VIVH</stp>
        <tr r="CI77" s="2"/>
        <tr r="AY75" s="5"/>
      </tp>
      <tp>
        <v>-4.6275395033860054</v>
        <stp/>
        <stp>CSNA3_B_0</stp>
        <stp>ANO</stp>
        <tr r="BR10" s="2"/>
        <tr r="AH8" s="5"/>
      </tp>
      <tp>
        <v>12.797619047619039</v>
        <stp/>
        <stp>HBSA3_B_0</stp>
        <stp>TRIM</stp>
        <tr r="BS58" s="2"/>
        <tr r="AI56" s="5"/>
      </tp>
      <tp>
        <v>20243</v>
        <stp/>
        <stp>ASAI3_B_0</stp>
        <stp>NEG</stp>
        <tr r="AZ61" s="2"/>
        <tr r="P59" s="5"/>
      </tp>
      <tp>
        <v>25</v>
        <stp/>
        <stp>AZZA3_B_0</stp>
        <stp>ULT</stp>
        <tr r="K10" s="2"/>
      </tp>
      <tp>
        <v>0</v>
        <stp/>
        <stp>JALL3_B_0</stp>
        <stp>CAB</stp>
        <tr r="BW69" s="2"/>
        <tr r="AM67" s="5"/>
      </tp>
      <tp>
        <v>3573.7150000000001</v>
        <stp/>
        <stp>IFIX_B_0</stp>
        <stp>MED</stp>
        <tr r="N46" s="5"/>
        <tr r="AX48" s="2"/>
      </tp>
      <tp>
        <v>-0.38947579566729124</v>
        <stp/>
        <stp>IFIX_B_0</stp>
        <stp>MES</stp>
        <tr r="AD46" s="5"/>
        <tr r="BN48" s="2"/>
      </tp>
      <tp>
        <v>36.300000000000004</v>
        <stp/>
        <stp>PRIO3_B_0</stp>
        <stp>FEC</stp>
        <tr r="J64" s="2"/>
      </tp>
      <tp>
        <v>-4.0104620749782116</v>
        <stp/>
        <stp>ITSA4_B_0</stp>
        <stp>TRIM</stp>
        <tr r="BS31" s="2"/>
        <tr r="AI29" s="5"/>
      </tp>
      <tp>
        <v>8.67</v>
        <stp/>
        <stp>RANI3_B_0</stp>
        <stp>ABE</stp>
        <tr r="G83" s="5"/>
        <tr r="AQ85" s="2"/>
        <tr r="AQ92" s="2"/>
        <tr r="AQ91" s="2"/>
        <tr r="AQ90" s="2"/>
        <tr r="AQ89" s="2"/>
        <tr r="AQ88" s="2"/>
        <tr r="AQ87" s="2"/>
        <tr r="AQ86" s="2"/>
      </tp>
      <tp>
        <v>0</v>
        <stp/>
        <stp>CSNA3_B_0</stp>
        <stp>AJU</stp>
        <tr r="BH10" s="2"/>
        <tr r="X8" s="5"/>
      </tp>
      <tp t="s">
        <v>-</v>
        <stp/>
        <stp>ABEV3_B_0</stp>
        <stp>VEGA</stp>
        <tr r="CE20" s="2"/>
        <tr r="AU18" s="5"/>
      </tp>
      <tp>
        <v>0</v>
        <stp/>
        <stp>CSNA3_B_0</stp>
        <stp>AJA</stp>
        <tr r="BI10" s="2"/>
        <tr r="Y8" s="5"/>
      </tp>
      <tp>
        <v>5.6400000000000006</v>
        <stp/>
        <stp>CMIN3_B_0</stp>
        <stp>FEC</stp>
        <tr r="J27" s="2"/>
      </tp>
      <tp>
        <v>7650</v>
        <stp/>
        <stp>CSAN3_B_0</stp>
        <stp>NEG</stp>
        <tr r="AZ62" s="2"/>
        <tr r="P60" s="5"/>
      </tp>
      <tp>
        <v>4.5200000000000005</v>
        <stp/>
        <stp>USIM5_B_0</stp>
        <stp>FEC</stp>
        <tr r="J81" s="2"/>
        <tr r="AT29" s="2"/>
        <tr r="J27" s="5"/>
      </tp>
      <tp>
        <v>-10.180162896558937</v>
        <stp/>
        <stp>SMTO3_B_0</stp>
        <stp>SEMES</stp>
        <tr r="AJ64" s="5"/>
        <tr r="BT66" s="2"/>
      </tp>
      <tp>
        <v>15.47</v>
        <stp/>
        <stp>RAIL3_B_0</stp>
        <stp>FEC</stp>
        <tr r="J69" s="2"/>
        <tr r="AT60" s="2"/>
        <tr r="J58" s="5"/>
      </tp>
      <tp>
        <v>-2.0528879610299229</v>
        <stp/>
        <stp>MDIA3_B_0</stp>
        <stp>TRIM</stp>
        <tr r="BS78" s="2"/>
        <tr r="AI76" s="5"/>
      </tp>
      <tp>
        <v>3579.52</v>
        <stp/>
        <stp>IFIX_B_0</stp>
        <stp>MAX</stp>
        <tr r="H46" s="5"/>
        <tr r="AR48" s="2"/>
      </tp>
      <tp>
        <v>-12.199216564073865</v>
        <stp/>
        <stp>SLCE3_B_0</stp>
        <stp>SEMES</stp>
        <tr r="BT79" s="2"/>
        <tr r="AJ77" s="5"/>
      </tp>
      <tp>
        <v>0</v>
        <stp/>
        <stp>WDOH24_F_0</stp>
        <stp>ABE</stp>
        <tr r="G50" s="5"/>
        <tr r="AQ52" s="2"/>
      </tp>
      <tp>
        <v>0</v>
        <stp/>
        <stp>WINJ24_F_0</stp>
        <stp>CAB</stp>
        <tr r="AM36" s="5"/>
        <tr r="BW38" s="2"/>
      </tp>
      <tp>
        <v>0</v>
        <stp/>
        <stp>WDOJ24_F_0</stp>
        <stp>CAB</stp>
        <tr r="BW51" s="2"/>
        <tr r="AM49" s="5"/>
      </tp>
      <tp t="s">
        <v>30/12/1899</v>
        <stp/>
        <stp>WINM24_F_0</stp>
        <stp>DAT</stp>
        <tr r="AN40" s="2"/>
        <tr r="D38" s="5"/>
      </tp>
      <tp t="s">
        <v>30/12/1899</v>
        <stp/>
        <stp>WDOM24_F_0</stp>
        <stp>DAT</stp>
        <tr r="D47" s="5"/>
        <tr r="AN49" s="2"/>
      </tp>
      <tp>
        <v>0</v>
        <stp/>
        <stp>WING24_F_0</stp>
        <stp>NEG</stp>
        <tr r="AZ42" s="2"/>
        <tr r="P40" s="5"/>
      </tp>
      <tp>
        <v>0</v>
        <stp/>
        <stp>WDOG24_F_0</stp>
        <stp>NEG</stp>
        <tr r="AZ53" s="2"/>
        <tr r="P51" s="5"/>
      </tp>
      <tp>
        <v>0</v>
        <stp/>
        <stp>WINZ24_F_0</stp>
        <stp>SEM</stp>
        <tr r="BM43" s="2"/>
        <tr r="AC41" s="5"/>
      </tp>
      <tp>
        <v>0</v>
        <stp/>
        <stp>WDOH24_F_0</stp>
        <stp>AJA</stp>
        <tr r="BI52" s="2"/>
        <tr r="Y50" s="5"/>
      </tp>
      <tp>
        <v>0</v>
        <stp/>
        <stp>WDOH24_F_0</stp>
        <stp>AJU</stp>
        <tr r="BH52" s="2"/>
        <tr r="X50" s="5"/>
      </tp>
      <tp>
        <v>0</v>
        <stp/>
        <stp>WDOH24_F_0</stp>
        <stp>ANO</stp>
        <tr r="BR52" s="2"/>
        <tr r="AH50" s="5"/>
      </tp>
      <tp>
        <v>0</v>
        <stp/>
        <stp>WDOX24_F_0</stp>
        <stp>QTE</stp>
        <tr r="BK56" s="2"/>
        <tr r="AA54" s="5"/>
      </tp>
      <tp>
        <v>0</v>
        <stp/>
        <stp>WDOX24_F_0</stp>
        <stp>QTT</stp>
        <tr r="BB56" s="2"/>
        <tr r="R54" s="5"/>
      </tp>
      <tp>
        <v>0</v>
        <stp/>
        <stp>WDOX24_F_0</stp>
        <stp>QUL</stp>
        <tr r="BA56" s="2"/>
        <tr r="Q54" s="5"/>
      </tp>
      <tp>
        <v>0</v>
        <stp/>
        <stp>KLBN11_B_0</stp>
        <stp>CAB</stp>
        <tr r="BW82" s="2"/>
        <tr r="AM80" s="5"/>
      </tp>
      <tp t="s">
        <v>30/12/1899</v>
        <stp/>
        <stp>INDM24_F_0</stp>
        <stp>DAT</stp>
        <tr r="D43" s="5"/>
        <tr r="AN45" s="2"/>
      </tp>
      <tp>
        <v>0</v>
        <stp/>
        <stp>INDM24_F_0</stp>
        <stp>VARPTS</stp>
        <tr r="M43" s="5"/>
        <tr r="AW45" s="2"/>
      </tp>
      <tp>
        <v>-125</v>
        <stp/>
        <stp>INDFUT_F_0</stp>
        <stp>VARPTS</stp>
        <tr r="AW17" s="2"/>
        <tr r="M15" s="5"/>
      </tp>
      <tp t="s">
        <v>-</v>
        <stp/>
        <stp>ABEV3_B_0</stp>
        <stp>DOBRAR</stp>
        <tr r="CH20" s="2"/>
        <tr r="AX18" s="5"/>
      </tp>
      <tp t="s">
        <v>-</v>
        <stp/>
        <stp>BBDC4_B_0</stp>
        <stp>DOBRAR</stp>
        <tr r="CH27" s="2"/>
        <tr r="AX25" s="5"/>
      </tp>
      <tp t="s">
        <v>-</v>
        <stp/>
        <stp>BBAS3_B_0</stp>
        <stp>DOBRAR</stp>
        <tr r="CH14" s="2"/>
        <tr r="AX12" s="5"/>
      </tp>
      <tp t="s">
        <v>-</v>
        <stp/>
        <stp>HBSA3_B_0</stp>
        <stp>DOBRAR</stp>
        <tr r="CH58" s="2"/>
        <tr r="AX56" s="5"/>
      </tp>
      <tp t="s">
        <v>-</v>
        <stp/>
        <stp>JBSS3_B_0</stp>
        <stp>DOBRAR</stp>
        <tr r="CH64" s="2"/>
        <tr r="AX62" s="5"/>
      </tp>
      <tp>
        <v>-6.2924400181077438</v>
        <stp/>
        <stp>BBAS3_B_0</stp>
        <stp>MES</stp>
        <tr r="BN14" s="2"/>
        <tr r="AD12" s="5"/>
      </tp>
      <tp>
        <v>20.840839938840382</v>
        <stp/>
        <stp>BBAS3_B_0</stp>
        <stp>MED</stp>
        <tr r="AX14" s="2"/>
        <tr r="N12" s="5"/>
      </tp>
      <tp>
        <v>-3.8276553106212496</v>
        <stp/>
        <stp>SUZB3_B_0</stp>
        <stp>TRIM</stp>
        <tr r="BS25" s="2"/>
        <tr r="AI23" s="5"/>
      </tp>
      <tp>
        <v>3.7339301699575498</v>
        <stp/>
        <stp>PCAR3_B_0</stp>
        <stp>MED</stp>
        <tr r="N68" s="5"/>
        <tr r="AX70" s="2"/>
      </tp>
      <tp t="s">
        <v>-</v>
        <stp/>
        <stp>TUPY3_B_0</stp>
        <stp>VINT</stp>
        <tr r="CJ81" s="2"/>
        <tr r="AZ79" s="5"/>
      </tp>
      <tp>
        <v>-5.2763819095477382</v>
        <stp/>
        <stp>PCAR3_B_0</stp>
        <stp>MES</stp>
        <tr r="BN70" s="2"/>
        <tr r="AD68" s="5"/>
      </tp>
      <tp>
        <v>36618</v>
        <stp/>
        <stp>EMBR3_B_0</stp>
        <stp>NEG</stp>
        <tr r="AZ26" s="2"/>
        <tr r="P24" s="5"/>
      </tp>
      <tp>
        <v>21106</v>
        <stp/>
        <stp>GGBR4_B_0</stp>
        <stp>NEG</stp>
        <tr r="AZ13" s="2"/>
        <tr r="P11" s="5"/>
      </tp>
      <tp>
        <v>10.32</v>
        <stp/>
        <stp>GOAU4_B_0</stp>
        <stp>MAX</stp>
        <tr r="AR19" s="2"/>
        <tr r="H17" s="5"/>
      </tp>
      <tp t="s">
        <v>Pré-Fechamento</v>
        <stp/>
        <stp>CMIG4_B_0</stp>
        <stp>EST</stp>
        <tr r="BX23" s="2"/>
        <tr r="AN21" s="5"/>
      </tp>
      <tp>
        <v>6.31</v>
        <stp/>
        <stp>GMAT3_B_0</stp>
        <stp>MAX</stp>
        <tr r="AR59" s="2"/>
        <tr r="H57" s="5"/>
      </tp>
      <tp t="s">
        <v>-</v>
        <stp/>
        <stp>GOAU4_B_0</stp>
        <stp>VEXT</stp>
        <tr r="CK19" s="2"/>
        <tr r="BA17" s="5"/>
      </tp>
      <tp>
        <v>0</v>
        <stp/>
        <stp>ARZZ3_B_0</stp>
        <stp>VOV</stp>
        <tr r="BG72" s="2"/>
        <tr r="W70" s="5"/>
      </tp>
      <tp>
        <v>1.7129356172475056</v>
        <stp/>
        <stp>BRAP4_B_0</stp>
        <stp>MES</stp>
        <tr r="BN30" s="2"/>
        <tr r="AD28" s="5"/>
      </tp>
      <tp>
        <v>0</v>
        <stp/>
        <stp>ARZZ3_B_0</stp>
        <stp>VOL</stp>
        <tr r="BC72" s="2"/>
        <tr r="S70" s="5"/>
      </tp>
      <tp>
        <v>0</v>
        <stp/>
        <stp>ARZZ3_B_0</stp>
        <stp>VOC</stp>
        <tr r="BF72" s="2"/>
        <tr r="V70" s="5"/>
      </tp>
      <tp>
        <v>17.260701183431951</v>
        <stp/>
        <stp>BRAP4_B_0</stp>
        <stp>MED</stp>
        <tr r="AX30" s="2"/>
        <tr r="N28" s="5"/>
      </tp>
      <tp>
        <v>21.16</v>
        <stp/>
        <stp>BBAS3_B_0</stp>
        <stp>MAX</stp>
        <tr r="AR14" s="2"/>
        <tr r="H12" s="5"/>
      </tp>
      <tp>
        <v>189112862</v>
        <stp/>
        <stp>SUZB3_B_0</stp>
        <stp>VPJ</stp>
        <tr r="BL25" s="2"/>
        <tr r="AB23" s="5"/>
      </tp>
      <tp t="s">
        <v>Pré-Fechamento</v>
        <stp/>
        <stp>MDIA3_B_0</stp>
        <stp>EST</stp>
        <tr r="BX78" s="2"/>
        <tr r="AN76" s="5"/>
      </tp>
      <tp t="s">
        <v>-</v>
        <stp/>
        <stp>MDIA3_B_0</stp>
        <stp>IMPVT</stp>
        <tr r="BZ78" s="2"/>
        <tr r="AP76" s="5"/>
      </tp>
      <tp>
        <v>15.77</v>
        <stp/>
        <stp>SLCE3_B_0</stp>
        <stp>OVD</stp>
        <tr r="BE79" s="2"/>
        <tr r="U77" s="5"/>
      </tp>
      <tp>
        <v>3.84</v>
        <stp/>
        <stp>PCAR3_B_0</stp>
        <stp>MAX</stp>
        <tr r="AR70" s="2"/>
        <tr r="H68" s="5"/>
      </tp>
      <tp t="s">
        <v>-</v>
        <stp/>
        <stp>ARZZ3_B_0</stp>
        <stp>VIB</stp>
        <tr r="CG72" s="2"/>
        <tr r="AW70" s="5"/>
      </tp>
      <tp t="s">
        <v>-</v>
        <stp/>
        <stp>ARZZ3_B_0</stp>
        <stp>VIA</stp>
        <tr r="CF72" s="2"/>
        <tr r="AV70" s="5"/>
      </tp>
      <tp>
        <v>0</v>
        <stp/>
        <stp>ECOR3_B_0</stp>
        <stp>CAB</stp>
        <tr r="BW7" s="2"/>
        <tr r="AM5" s="5"/>
      </tp>
      <tp>
        <v>7.5630252100840405</v>
        <stp/>
        <stp>GOAU4_B_0</stp>
        <stp>MES</stp>
        <tr r="BN19" s="2"/>
        <tr r="AD17" s="5"/>
      </tp>
      <tp>
        <v>10.256454830712016</v>
        <stp/>
        <stp>GOAU4_B_0</stp>
        <stp>MED</stp>
        <tr r="AX19" s="2"/>
        <tr r="N17" s="5"/>
      </tp>
      <tp>
        <v>17.37</v>
        <stp/>
        <stp>BRAP4_B_0</stp>
        <stp>MAX</stp>
        <tr r="AR30" s="2"/>
        <tr r="H28" s="5"/>
      </tp>
      <tp>
        <v>-10.791366906474821</v>
        <stp/>
        <stp>GMAT3_B_0</stp>
        <stp>MES</stp>
        <tr r="BN59" s="2"/>
        <tr r="AD57" s="5"/>
      </tp>
      <tp>
        <v>6.1913732360254468</v>
        <stp/>
        <stp>GMAT3_B_0</stp>
        <stp>MED</stp>
        <tr r="AX59" s="2"/>
        <tr r="N57" s="5"/>
      </tp>
      <tp t="s">
        <v>-</v>
        <stp/>
        <stp>MGLU3_B_0</stp>
        <stp>IMPVT</stp>
        <tr r="BZ35" s="2"/>
        <tr r="AP33" s="5"/>
      </tp>
      <tp t="s">
        <v>Pré-Fechamento</v>
        <stp/>
        <stp>USIM5_B_0</stp>
        <stp>EST</stp>
        <tr r="BX29" s="2"/>
        <tr r="AN27" s="5"/>
      </tp>
      <tp t="s">
        <v>-</v>
        <stp/>
        <stp>ARZZ3_B_0</stp>
        <stp>VEN</stp>
        <tr r="BU72" s="2"/>
        <tr r="AK70" s="5"/>
      </tp>
      <tp t="s">
        <v>Pré-Fechamento</v>
        <stp/>
        <stp>RAIL3_B_0</stp>
        <stp>EST</stp>
        <tr r="BX60" s="2"/>
        <tr r="AN58" s="5"/>
      </tp>
      <tp>
        <v>10.14</v>
        <stp/>
        <stp>GOAU4_B_0</stp>
        <stp>MIN</stp>
        <tr r="AS19" s="2"/>
        <tr r="I17" s="5"/>
      </tp>
      <tp>
        <v>6.15</v>
        <stp/>
        <stp>GMAT3_B_0</stp>
        <stp>MIN</stp>
        <tr r="AS59" s="2"/>
        <tr r="I57" s="5"/>
      </tp>
      <tp>
        <v>20.67</v>
        <stp/>
        <stp>BBAS3_B_0</stp>
        <stp>MIN</stp>
        <tr r="AS14" s="2"/>
        <tr r="I12" s="5"/>
      </tp>
      <tp>
        <v>3.67</v>
        <stp/>
        <stp>PCAR3_B_0</stp>
        <stp>MIN</stp>
        <tr r="I68" s="5"/>
        <tr r="AS70" s="2"/>
      </tp>
      <tp>
        <v>0</v>
        <stp/>
        <stp>ARZZ3_B_0</stp>
        <stp>VAR</stp>
        <tr r="AV72" s="2"/>
        <tr r="L70" s="5"/>
      </tp>
      <tp t="s">
        <v>31/12/9999</v>
        <stp/>
        <stp>ARZZ3_B_0</stp>
        <stp>VAL</stp>
        <tr r="BV72" s="2"/>
        <tr r="AL70" s="5"/>
      </tp>
      <tp t="s">
        <v>-</v>
        <stp/>
        <stp>MGLU3_B_0</stp>
        <stp>VEXT</stp>
        <tr r="CK35" s="2"/>
        <tr r="BA33" s="5"/>
      </tp>
      <tp>
        <v>17.13</v>
        <stp/>
        <stp>BRAP4_B_0</stp>
        <stp>MIN</stp>
        <tr r="AS30" s="2"/>
        <tr r="I28" s="5"/>
      </tp>
      <tp>
        <v>5.1100000000000003</v>
        <stp/>
        <stp>DXCO3_B_0</stp>
        <stp>OVD</stp>
        <tr r="BE75" s="2"/>
        <tr r="U73" s="5"/>
      </tp>
      <tp>
        <v>0</v>
        <stp/>
        <stp>CAML3_B_0</stp>
        <stp>AJU</stp>
        <tr r="BH83" s="2"/>
        <tr r="X81" s="5"/>
      </tp>
      <tp>
        <v>0</v>
        <stp/>
        <stp>ARML3_B_0</stp>
        <stp>AJU</stp>
        <tr r="BH80" s="2"/>
        <tr r="X78" s="5"/>
      </tp>
      <tp>
        <v>15.620000000000001</v>
        <stp/>
        <stp>SLCE3_B_0</stp>
        <stp>OCP</stp>
        <tr r="BD79" s="2"/>
        <tr r="T77" s="5"/>
      </tp>
      <tp>
        <v>0</v>
        <stp/>
        <stp>CAML3_B_0</stp>
        <stp>AJA</stp>
        <tr r="BI83" s="2"/>
        <tr r="Y81" s="5"/>
      </tp>
      <tp>
        <v>0</v>
        <stp/>
        <stp>ARML3_B_0</stp>
        <stp>AJA</stp>
        <tr r="BI80" s="2"/>
        <tr r="Y78" s="5"/>
      </tp>
      <tp>
        <v>22.402597402597401</v>
        <stp/>
        <stp>PCAR3_B_0</stp>
        <stp>SEMES</stp>
        <tr r="BT70" s="2"/>
        <tr r="AJ68" s="5"/>
      </tp>
      <tp t="s">
        <v>-</v>
        <stp/>
        <stp>SUZB3_B_0</stp>
        <stp>VEN</stp>
        <tr r="BU25" s="2"/>
        <tr r="AK23" s="5"/>
      </tp>
      <tp>
        <v>0</v>
        <stp/>
        <stp>CRFB3_B_0</stp>
        <stp>TRIM</stp>
        <tr r="BS63" s="2"/>
        <tr r="AI61" s="5"/>
      </tp>
      <tp t="s">
        <v>-</v>
        <stp/>
        <stp>MGLU3_B_0</stp>
        <stp>VEGA</stp>
        <tr r="CE35" s="2"/>
        <tr r="AU33" s="5"/>
      </tp>
      <tp>
        <v>5.78</v>
        <stp/>
        <stp>CSAN3_B_0</stp>
        <stp>MIN</stp>
        <tr r="AS62" s="2"/>
        <tr r="I60" s="5"/>
      </tp>
      <tp t="s">
        <v>-</v>
        <stp/>
        <stp>MRVE3_B_0</stp>
        <stp>IMPVT</stp>
        <tr r="BZ18" s="2"/>
        <tr r="AP16" s="5"/>
      </tp>
      <tp t="s">
        <v>-</v>
        <stp/>
        <stp>MRFG3_B_0</stp>
        <stp>IMPVT</stp>
        <tr r="AP66" s="5"/>
        <tr r="BZ68" s="2"/>
      </tp>
      <tp>
        <v>0</v>
        <stp/>
        <stp>VAMO3_B_0</stp>
        <stp>AJA</stp>
        <tr r="BI74" s="2"/>
        <tr r="Y72" s="5"/>
      </tp>
      <tp>
        <v>0</v>
        <stp/>
        <stp>VAMO3_B_0</stp>
        <stp>AJU</stp>
        <tr r="BH74" s="2"/>
        <tr r="X72" s="5"/>
      </tp>
      <tp>
        <v>-37.836483241098463</v>
        <stp/>
        <stp>ARML3_B_0</stp>
        <stp>ANO</stp>
        <tr r="BR80" s="2"/>
        <tr r="AH78" s="5"/>
      </tp>
      <tp>
        <v>-12.391827995360879</v>
        <stp/>
        <stp>CAML3_B_0</stp>
        <stp>ANO</stp>
        <tr r="BR83" s="2"/>
        <tr r="AH81" s="5"/>
      </tp>
      <tp t="s">
        <v>31/12/9999</v>
        <stp/>
        <stp>SUZB3_B_0</stp>
        <stp>VAL</stp>
        <tr r="BV25" s="2"/>
        <tr r="AL23" s="5"/>
      </tp>
      <tp>
        <v>-0.45633685957270043</v>
        <stp/>
        <stp>SUZB3_B_0</stp>
        <stp>VAR</stp>
        <tr r="AV25" s="2"/>
        <tr r="L23" s="5"/>
      </tp>
      <tp>
        <v>7.94</v>
        <stp/>
        <stp>ASAI3_B_0</stp>
        <stp>MIN</stp>
        <tr r="I59" s="5"/>
        <tr r="AS61" s="2"/>
      </tp>
      <tp>
        <v>-38.947368421052623</v>
        <stp/>
        <stp>VAMO3_B_0</stp>
        <stp>ANO</stp>
        <tr r="BR74" s="2"/>
        <tr r="AH72" s="5"/>
      </tp>
      <tp>
        <v>4.9400000000000004</v>
        <stp/>
        <stp>CAML3_B_0</stp>
        <stp>ABE</stp>
        <tr r="G81" s="5"/>
        <tr r="AQ83" s="2"/>
      </tp>
      <tp>
        <v>3.07</v>
        <stp/>
        <stp>ARML3_B_0</stp>
        <stp>ABE</stp>
        <tr r="AQ80" s="2"/>
        <tr r="G78" s="5"/>
      </tp>
      <tp>
        <v>5.93</v>
        <stp/>
        <stp>CSAN3_B_0</stp>
        <stp>MAX</stp>
        <tr r="AR62" s="2"/>
        <tr r="H60" s="5"/>
      </tp>
      <tp t="s">
        <v>-</v>
        <stp/>
        <stp>TUPY3_B_0</stp>
        <stp>VIVH</stp>
        <tr r="CI81" s="2"/>
        <tr r="AY79" s="5"/>
      </tp>
      <tp>
        <v>-13.880126182965286</v>
        <stp/>
        <stp>ASAI3_B_0</stp>
        <stp>MES</stp>
        <tr r="BN61" s="2"/>
        <tr r="AD59" s="5"/>
      </tp>
      <tp t="s">
        <v>17:07:37</v>
        <stp/>
        <stp>BBDC4_B_0</stp>
        <stp>HOR</stp>
        <tr r="E25" s="5"/>
        <tr r="AO27" s="2"/>
      </tp>
      <tp>
        <v>4.96</v>
        <stp/>
        <stp>DXCO3_B_0</stp>
        <stp>OCP</stp>
        <tr r="BD75" s="2"/>
        <tr r="T73" s="5"/>
      </tp>
      <tp>
        <v>8.1801144180386895</v>
        <stp/>
        <stp>ASAI3_B_0</stp>
        <stp>MED</stp>
        <tr r="AX61" s="2"/>
        <tr r="N59" s="5"/>
      </tp>
      <tp>
        <v>189112862</v>
        <stp/>
        <stp>SUZB3_B_0</stp>
        <stp>VOL</stp>
        <tr r="BC25" s="2"/>
        <tr r="S23" s="5"/>
      </tp>
      <tp>
        <v>2.92</v>
        <stp/>
        <stp>VAMO3_B_0</stp>
        <stp>ABE</stp>
        <tr r="G72" s="5"/>
        <tr r="AQ74" s="2"/>
      </tp>
      <tp>
        <v>100</v>
        <stp/>
        <stp>SUZB3_B_0</stp>
        <stp>VOC</stp>
        <tr r="BF25" s="2"/>
        <tr r="V23" s="5"/>
      </tp>
      <tp>
        <v>800</v>
        <stp/>
        <stp>SUZB3_B_0</stp>
        <stp>VOV</stp>
        <tr r="BG25" s="2"/>
        <tr r="W23" s="5"/>
      </tp>
      <tp>
        <v>431181</v>
        <stp/>
        <stp>IFIX_B_0</stp>
        <stp>NEG</stp>
        <tr r="P46" s="5"/>
        <tr r="AZ48" s="2"/>
      </tp>
      <tp>
        <v>-4.1095890410958829</v>
        <stp/>
        <stp>ITUB4_B_0</stp>
        <stp>TRIM</stp>
        <tr r="BS32" s="2"/>
        <tr r="AI30" s="5"/>
      </tp>
      <tp>
        <v>0</v>
        <stp/>
        <stp>ARZZ3_B_0</stp>
        <stp>VPJ</stp>
        <tr r="BL72" s="2"/>
        <tr r="AB70" s="5"/>
      </tp>
      <tp t="s">
        <v>-</v>
        <stp/>
        <stp>GOAU4_B_0</stp>
        <stp>VEGA</stp>
        <tr r="CE19" s="2"/>
        <tr r="AU17" s="5"/>
      </tp>
      <tp t="s">
        <v>-</v>
        <stp/>
        <stp>SUZB3_B_0</stp>
        <stp>VIA</stp>
        <tr r="CF25" s="2"/>
        <tr r="AV23" s="5"/>
      </tp>
      <tp t="s">
        <v>-</v>
        <stp/>
        <stp>SUZB3_B_0</stp>
        <stp>VIB</stp>
        <tr r="CG25" s="2"/>
        <tr r="AW23" s="5"/>
      </tp>
      <tp>
        <v>-4.7001620745542958</v>
        <stp/>
        <stp>CSAN3_B_0</stp>
        <stp>MES</stp>
        <tr r="AD60" s="5"/>
        <tr r="BN62" s="2"/>
      </tp>
      <tp>
        <v>5.8706044415050993</v>
        <stp/>
        <stp>CSAN3_B_0</stp>
        <stp>MED</stp>
        <tr r="AX62" s="2"/>
        <tr r="N60" s="5"/>
      </tp>
      <tp>
        <v>8.2799999999999994</v>
        <stp/>
        <stp>ASAI3_B_0</stp>
        <stp>MAX</stp>
        <tr r="AR61" s="2"/>
        <tr r="H59" s="5"/>
      </tp>
      <tp t="s">
        <v>Pré-Fechamento</v>
        <stp/>
        <stp>RAIZ4_B_0</stp>
        <stp>EST</stp>
        <tr r="BX77" s="2"/>
        <tr r="AN75" s="5"/>
      </tp>
      <tp>
        <v>0</v>
        <stp/>
        <stp>WDOK24_F_0</stp>
        <stp>ABE</stp>
        <tr r="G37" s="5"/>
        <tr r="AQ39" s="2"/>
      </tp>
      <tp>
        <v>0</v>
        <stp/>
        <stp>WDOG24_F_0</stp>
        <stp>MAX</stp>
        <tr r="AR53" s="2"/>
        <tr r="H51" s="5"/>
      </tp>
      <tp t="s">
        <v>30/12/1899</v>
        <stp/>
        <stp>WDON24_F_0</stp>
        <stp>DAT</stp>
        <tr r="D48" s="5"/>
        <tr r="AN50" s="2"/>
      </tp>
      <tp>
        <v>0</v>
        <stp/>
        <stp>WING24_F_0</stp>
        <stp>MAX</stp>
        <tr r="AR42" s="2"/>
        <tr r="H40" s="5"/>
      </tp>
      <tp>
        <v>0</v>
        <stp/>
        <stp>WING24_F_0</stp>
        <stp>MED</stp>
        <tr r="AX42" s="2"/>
        <tr r="N40" s="5"/>
      </tp>
      <tp>
        <v>0</v>
        <stp/>
        <stp>WDOG24_F_0</stp>
        <stp>MED</stp>
        <tr r="AX53" s="2"/>
        <tr r="N51" s="5"/>
      </tp>
      <tp>
        <v>0</v>
        <stp/>
        <stp>WING24_F_0</stp>
        <stp>MES</stp>
        <tr r="BN42" s="2"/>
        <tr r="AD40" s="5"/>
      </tp>
      <tp>
        <v>0</v>
        <stp/>
        <stp>WINZ24_F_0</stp>
        <stp>PEX</stp>
        <tr r="AU43" s="2"/>
        <tr r="K41" s="5"/>
      </tp>
      <tp>
        <v>0</v>
        <stp/>
        <stp>WDOG24_F_0</stp>
        <stp>MES</stp>
        <tr r="BN53" s="2"/>
        <tr r="AD51" s="5"/>
      </tp>
      <tp>
        <v>0</v>
        <stp/>
        <stp>WDOK24_F_0</stp>
        <stp>AJA</stp>
        <tr r="BI39" s="2"/>
        <tr r="Y37" s="5"/>
      </tp>
      <tp>
        <v>0</v>
        <stp/>
        <stp>WDOK24_F_0</stp>
        <stp>AJU</stp>
        <tr r="BH39" s="2"/>
        <tr r="X37" s="5"/>
      </tp>
      <tp t="s">
        <v>-</v>
        <stp/>
        <stp>WDOX24_F_0</stp>
        <stp>RHO</stp>
        <tr r="CD56" s="2"/>
        <tr r="AT54" s="5"/>
      </tp>
      <tp>
        <v>0</v>
        <stp/>
        <stp>WDOG24_F_0</stp>
        <stp>MIN</stp>
        <tr r="AS53" s="2"/>
        <tr r="I51" s="5"/>
      </tp>
      <tp>
        <v>0</v>
        <stp/>
        <stp>WING24_F_0</stp>
        <stp>MIN</stp>
        <tr r="AS42" s="2"/>
        <tr r="I40" s="5"/>
      </tp>
      <tp>
        <v>0</v>
        <stp/>
        <stp>WDOK24_F_0</stp>
        <stp>ANO</stp>
        <tr r="BR39" s="2"/>
        <tr r="AH37" s="5"/>
      </tp>
      <tp>
        <v>0</v>
        <stp/>
        <stp>WINZ24_F_0</stp>
        <stp>PRT</stp>
        <tr r="BJ43" s="2"/>
        <tr r="Z41" s="5"/>
      </tp>
      <tp t="s">
        <v>-</v>
        <stp/>
        <stp>RANI3_B_0</stp>
        <stp>DOBRAR</stp>
        <tr r="CH85" s="2"/>
        <tr r="AX83" s="5"/>
        <tr r="CH92" s="2"/>
        <tr r="CH91" s="2"/>
        <tr r="CH90" s="2"/>
        <tr r="CH89" s="2"/>
        <tr r="CH88" s="2"/>
        <tr r="CH87" s="2"/>
        <tr r="CH86" s="2"/>
      </tp>
      <tp t="s">
        <v>-</v>
        <stp/>
        <stp>VAMO3_B_0</stp>
        <stp>DOBRAR</stp>
        <tr r="CH74" s="2"/>
        <tr r="AX72" s="5"/>
      </tp>
      <tp t="s">
        <v>-</v>
        <stp/>
        <stp>CAML3_B_0</stp>
        <stp>DOBRAR</stp>
        <tr r="CH83" s="2"/>
        <tr r="AX81" s="5"/>
      </tp>
      <tp t="s">
        <v>-</v>
        <stp/>
        <stp>JALL3_B_0</stp>
        <stp>DOBRAR</stp>
        <tr r="CH69" s="2"/>
        <tr r="AX67" s="5"/>
      </tp>
      <tp t="s">
        <v>-</v>
        <stp/>
        <stp>VALE3_B_0</stp>
        <stp>DOBRAR</stp>
        <tr r="CH12" s="2"/>
        <tr r="AX10" s="5"/>
      </tp>
      <tp t="s">
        <v>-</v>
        <stp/>
        <stp>RAIL3_B_0</stp>
        <stp>DOBRAR</stp>
        <tr r="CH60" s="2"/>
        <tr r="AX58" s="5"/>
      </tp>
      <tp t="s">
        <v>-</v>
        <stp/>
        <stp>RAIZ4_B_0</stp>
        <stp>DOBRAR</stp>
        <tr r="CH77" s="2"/>
        <tr r="AX75" s="5"/>
      </tp>
      <tp>
        <v>-5.9999999999999609E-2</v>
        <stp/>
        <stp>ECOR3_B_0</stp>
        <stp>VARPTS</stp>
        <tr r="AW7" s="2"/>
        <tr r="M5" s="5"/>
      </tp>
      <tp>
        <v>-7.0000000000000284E-2</v>
        <stp/>
        <stp>PCAR3_B_0</stp>
        <stp>VARPTS</stp>
        <tr r="AW70" s="2"/>
        <tr r="M68" s="5"/>
      </tp>
      <tp t="s">
        <v>-</v>
        <stp/>
        <stp>WDOFUTV_F_0</stp>
        <stp>DOBRAR</stp>
        <tr r="AX45" s="5"/>
        <tr r="CH47" s="2"/>
      </tp>
      <tp>
        <v>-8.0000000000000071E-2</v>
        <stp/>
        <stp>RCSL3_B_0</stp>
        <stp>VARPTS</stp>
        <tr r="AW65" s="2"/>
        <tr r="M63" s="5"/>
      </tp>
      <tp t="s">
        <v>-</v>
        <stp/>
        <stp>RAPT4_B_0</stp>
        <stp>DOBRAR</stp>
        <tr r="CH76" s="2"/>
        <tr r="AX74" s="5"/>
      </tp>
      <tp>
        <v>144973.67228390812</v>
        <stp/>
        <stp>WINFUT_F_0</stp>
        <stp>MED</stp>
        <tr r="AX36" s="2"/>
        <tr r="N34" s="5"/>
      </tp>
      <tp>
        <v>5486.0743684321224</v>
        <stp/>
        <stp>WDOFUT_F_0</stp>
        <stp>MED</stp>
        <tr r="AX37" s="2"/>
        <tr r="N35" s="5"/>
      </tp>
      <tp>
        <v>-3.7690403769705476</v>
        <stp/>
        <stp>WINFUT_F_0</stp>
        <stp>MES</stp>
        <tr r="BN36" s="2"/>
        <tr r="AD34" s="5"/>
      </tp>
      <tp>
        <v>2.3969408692408134</v>
        <stp/>
        <stp>WDOFUT_F_0</stp>
        <stp>MES</stp>
        <tr r="BN37" s="2"/>
        <tr r="AD35" s="5"/>
      </tp>
      <tp>
        <v>8.5299999999999994</v>
        <stp/>
        <stp>MGLU3_B_0</stp>
        <stp>ABE</stp>
        <tr r="G33" s="5"/>
        <tr r="AQ35" s="2"/>
      </tp>
      <tp t="s">
        <v>-</v>
        <stp/>
        <stp>PCAR3_B_0</stp>
        <stp>DELTA</stp>
        <tr r="AQ68" s="5"/>
        <tr r="CA70" s="2"/>
      </tp>
      <tp>
        <v>0</v>
        <stp/>
        <stp>RENT3_B_0</stp>
        <stp>CAB</stp>
        <tr r="BW24" s="2"/>
        <tr r="AM22" s="5"/>
      </tp>
      <tp>
        <v>5.4622999999999999</v>
        <stp/>
        <stp>DOLPT_E_0</stp>
        <stp>FEC</stp>
        <tr r="AT16" s="2"/>
        <tr r="J14" s="5"/>
      </tp>
      <tp>
        <v>5493.5</v>
        <stp/>
        <stp>WDOFUT_F_0</stp>
        <stp>MAX</stp>
        <tr r="H35" s="5"/>
        <tr r="AR37" s="2"/>
      </tp>
      <tp>
        <v>145405</v>
        <stp/>
        <stp>WINFUT_F_0</stp>
        <stp>MAX</stp>
        <tr r="AR36" s="2"/>
        <tr r="H34" s="5"/>
      </tp>
      <tp t="s">
        <v>-</v>
        <stp/>
        <stp>GMAT3_B_0</stp>
        <stp>VEXT</stp>
        <tr r="CK59" s="2"/>
        <tr r="BA57" s="5"/>
      </tp>
      <tp>
        <v>17.650000000000002</v>
        <stp/>
        <stp>GGBR4_B_0</stp>
        <stp>OCP</stp>
        <tr r="BD13" s="2"/>
        <tr r="T11" s="5"/>
      </tp>
      <tp>
        <v>82.23</v>
        <stp/>
        <stp>EMBR3_B_0</stp>
        <stp>OCP</stp>
        <tr r="BD26" s="2"/>
        <tr r="T24" s="5"/>
      </tp>
      <tp>
        <v>0</v>
        <stp/>
        <stp>IFIX_B_0</stp>
        <stp>OVD</stp>
        <tr r="U46" s="5"/>
        <tr r="BE48" s="2"/>
      </tp>
      <tp>
        <v>0</v>
        <stp/>
        <stp>MGLU3_B_0</stp>
        <stp>AJU</stp>
        <tr r="BH35" s="2"/>
        <tr r="X33" s="5"/>
      </tp>
      <tp t="s">
        <v>-</v>
        <stp/>
        <stp>RAPT4_B_0</stp>
        <stp>VEGA</stp>
        <tr r="CE76" s="2"/>
        <tr r="AU74" s="5"/>
      </tp>
      <tp>
        <v>0</v>
        <stp/>
        <stp>MGLU3_B_0</stp>
        <stp>AJA</stp>
        <tr r="BI35" s="2"/>
        <tr r="Y33" s="5"/>
      </tp>
      <tp t="s">
        <v>-</v>
        <stp/>
        <stp>VIVT3_B_0</stp>
        <stp>VEGA</stp>
        <tr r="CE9" s="2"/>
        <tr r="AU7" s="5"/>
      </tp>
      <tp>
        <v>5478.5</v>
        <stp/>
        <stp>WDOFUT_F_0</stp>
        <stp>MIN</stp>
        <tr r="I35" s="5"/>
        <tr r="AS37" s="2"/>
      </tp>
      <tp>
        <v>144665</v>
        <stp/>
        <stp>WINFUT_F_0</stp>
        <stp>MIN</stp>
        <tr r="AS36" s="2"/>
        <tr r="I34" s="5"/>
      </tp>
      <tp>
        <v>39.142010427726994</v>
        <stp/>
        <stp>MGLU3_B_0</stp>
        <stp>ANO</stp>
        <tr r="BR35" s="2"/>
        <tr r="AH33" s="5"/>
      </tp>
      <tp t="s">
        <v>14/10/2025</v>
        <stp/>
        <stp>RAIZ4_B_0</stp>
        <stp>DAT</stp>
        <tr r="D75" s="5"/>
        <tr r="AN77" s="2"/>
      </tp>
      <tp t="s">
        <v>-</v>
        <stp/>
        <stp>RENT3_B_0</stp>
        <stp>VEGA</stp>
        <tr r="CE24" s="2"/>
        <tr r="AU22" s="5"/>
      </tp>
      <tp t="s">
        <v>17:07:35</v>
        <stp/>
        <stp>ABEV3_B_0</stp>
        <stp>HOR</stp>
        <tr r="AO20" s="2"/>
        <tr r="E18" s="5"/>
      </tp>
      <tp>
        <v>0</v>
        <stp/>
        <stp>JALL3_B_0</stp>
        <stp>AJU</stp>
        <tr r="BH69" s="2"/>
        <tr r="X67" s="5"/>
      </tp>
      <tp t="s">
        <v>14/10/2025</v>
        <stp/>
        <stp>CMIG4_B_0</stp>
        <stp>DAT</stp>
        <tr r="D21" s="5"/>
        <tr r="AN23" s="2"/>
      </tp>
      <tp>
        <v>0</v>
        <stp/>
        <stp>JALL3_B_0</stp>
        <stp>AJA</stp>
        <tr r="Y67" s="5"/>
        <tr r="BI69" s="2"/>
      </tp>
      <tp t="s">
        <v>-</v>
        <stp/>
        <stp>RENT3_B_0</stp>
        <stp>VEXT</stp>
        <tr r="CK24" s="2"/>
        <tr r="BA22" s="5"/>
      </tp>
      <tp>
        <v>59.3</v>
        <stp/>
        <stp>VALE3_B_0</stp>
        <stp>ABE</stp>
        <tr r="G10" s="5"/>
        <tr r="AQ12" s="2"/>
      </tp>
      <tp>
        <v>144685</v>
        <stp/>
        <stp>INDFUT_F_0</stp>
        <stp>MIN</stp>
        <tr r="AS17" s="2"/>
        <tr r="I15" s="5"/>
      </tp>
      <tp>
        <v>82.7</v>
        <stp/>
        <stp>EMBR3_B_0</stp>
        <stp>OVD</stp>
        <tr r="BE26" s="2"/>
        <tr r="U24" s="5"/>
      </tp>
      <tp>
        <v>17.760000000000002</v>
        <stp/>
        <stp>GGBR4_B_0</stp>
        <stp>OVD</stp>
        <tr r="BE13" s="2"/>
        <tr r="U11" s="5"/>
      </tp>
      <tp t="s">
        <v>-</v>
        <stp/>
        <stp>LREN3_B_0</stp>
        <stp>IMPVT</stp>
        <tr r="BZ34" s="2"/>
        <tr r="AP32" s="5"/>
      </tp>
      <tp>
        <v>5486.2828083989498</v>
        <stp/>
        <stp>DOLFUT_F_0</stp>
        <stp>MED</stp>
        <tr r="N13" s="5"/>
        <tr r="AX15" s="2"/>
      </tp>
      <tp>
        <v>2.4255994029293779</v>
        <stp/>
        <stp>DOLFUT_F_0</stp>
        <stp>MES</stp>
        <tr r="AD13" s="5"/>
        <tr r="BN15" s="2"/>
      </tp>
      <tp t="s">
        <v>-</v>
        <stp/>
        <stp>BRAP4_B_0</stp>
        <stp>GAMA</stp>
        <tr r="CB30" s="2"/>
        <tr r="AR28" s="5"/>
      </tp>
      <tp>
        <v>-44.181034482758619</v>
        <stp/>
        <stp>JALL3_B_0</stp>
        <stp>ANO</stp>
        <tr r="BR69" s="2"/>
        <tr r="AH67" s="5"/>
      </tp>
      <tp t="s">
        <v>-</v>
        <stp/>
        <stp>VIVT3_B_0</stp>
        <stp>VEXT</stp>
        <tr r="CK9" s="2"/>
        <tr r="BA7" s="5"/>
      </tp>
      <tp t="s">
        <v>00:00:00</v>
        <stp/>
        <stp>CIEL3_B_0</stp>
        <stp>HOR</stp>
        <tr r="E6" s="5"/>
        <tr r="AO8" s="2"/>
      </tp>
      <tp t="s">
        <v>-</v>
        <stp/>
        <stp>RAPT4_B_0</stp>
        <stp>VEXT</stp>
        <tr r="CK76" s="2"/>
        <tr r="BA74" s="5"/>
      </tp>
      <tp t="s">
        <v>14/10/2025</v>
        <stp/>
        <stp>MDIA3_B_0</stp>
        <stp>DAT</stp>
        <tr r="D76" s="5"/>
        <tr r="AN78" s="2"/>
      </tp>
      <tp>
        <v>4439</v>
        <stp/>
        <stp>SLCE3_B_0</stp>
        <stp>NEG</stp>
        <tr r="AZ79" s="2"/>
        <tr r="P77" s="5"/>
      </tp>
      <tp>
        <v>0</v>
        <stp/>
        <stp>CSNA3_B_0</stp>
        <stp>CAB</stp>
        <tr r="BW10" s="2"/>
        <tr r="AM8" s="5"/>
      </tp>
      <tp>
        <v>5493</v>
        <stp/>
        <stp>DOLFUT_F_0</stp>
        <stp>MAX</stp>
        <tr r="H13" s="5"/>
        <tr r="AR15" s="2"/>
      </tp>
      <tp t="s">
        <v>17:07:51</v>
        <stp/>
        <stp>LREN3_B_0</stp>
        <stp>HOR</stp>
        <tr r="E32" s="5"/>
        <tr r="AO34" s="2"/>
      </tp>
      <tp>
        <v>-2.9060293318848465</v>
        <stp/>
        <stp>BBDC4_B_0</stp>
        <stp>TRIM</stp>
        <tr r="BS27" s="2"/>
        <tr r="AI25" s="5"/>
      </tp>
      <tp t="s">
        <v>17:56:54</v>
        <stp/>
        <stp>TTEN3_B_0</stp>
        <stp>HOR</stp>
        <tr r="E82" s="5"/>
        <tr r="AO84" s="2"/>
      </tp>
      <tp>
        <v>2.58</v>
        <stp/>
        <stp>JALL3_B_0</stp>
        <stp>ABE</stp>
        <tr r="G67" s="5"/>
        <tr r="AQ69" s="2"/>
      </tp>
      <tp>
        <v>0</v>
        <stp/>
        <stp>VALE3_B_0</stp>
        <stp>AJA</stp>
        <tr r="BI12" s="2"/>
        <tr r="Y10" s="5"/>
      </tp>
      <tp>
        <v>0</v>
        <stp/>
        <stp>VALE3_B_0</stp>
        <stp>AJU</stp>
        <tr r="BH12" s="2"/>
        <tr r="X10" s="5"/>
      </tp>
      <tp>
        <v>145385</v>
        <stp/>
        <stp>INDFUT_F_0</stp>
        <stp>MAX</stp>
        <tr r="AR17" s="2"/>
        <tr r="H15" s="5"/>
      </tp>
      <tp t="s">
        <v>14/10/2025</v>
        <stp/>
        <stp>USIM5_B_0</stp>
        <stp>DAT</stp>
        <tr r="D27" s="5"/>
        <tr r="AN29" s="2"/>
      </tp>
      <tp t="s">
        <v>-</v>
        <stp/>
        <stp>GMAT3_B_0</stp>
        <stp>VEGA</stp>
        <tr r="CE59" s="2"/>
        <tr r="AU57" s="5"/>
      </tp>
      <tp t="s">
        <v>14/10/2025</v>
        <stp/>
        <stp>RAIL3_B_0</stp>
        <stp>DAT</stp>
        <tr r="D58" s="5"/>
        <tr r="AN60" s="2"/>
      </tp>
      <tp>
        <v>4395</v>
        <stp/>
        <stp>DXCO3_B_0</stp>
        <stp>NEG</stp>
        <tr r="AZ75" s="2"/>
        <tr r="P73" s="5"/>
      </tp>
      <tp>
        <v>17.1842057264342</v>
        <stp/>
        <stp>VALE3_B_0</stp>
        <stp>ANO</stp>
        <tr r="BR12" s="2"/>
        <tr r="AH10" s="5"/>
      </tp>
      <tp>
        <v>0</v>
        <stp/>
        <stp>IFIX_B_0</stp>
        <stp>OCP</stp>
        <tr r="T46" s="5"/>
        <tr r="BD48" s="2"/>
      </tp>
      <tp>
        <v>145005.91070372562</v>
        <stp/>
        <stp>INDFUT_F_0</stp>
        <stp>MED</stp>
        <tr r="N15" s="5"/>
        <tr r="AX17" s="2"/>
      </tp>
      <tp>
        <v>-3.6284353509861833</v>
        <stp/>
        <stp>INDFUT_F_0</stp>
        <stp>MES</stp>
        <tr r="AD15" s="5"/>
        <tr r="BN17" s="2"/>
      </tp>
      <tp>
        <v>0</v>
        <stp/>
        <stp>RANI3_B_0</stp>
        <stp>CAB</stp>
        <tr r="BW85" s="2"/>
        <tr r="AM83" s="5"/>
        <tr r="BW92" s="2"/>
        <tr r="BW91" s="2"/>
        <tr r="BW90" s="2"/>
        <tr r="BW89" s="2"/>
        <tr r="BW88" s="2"/>
        <tr r="BW87" s="2"/>
        <tr r="BW86" s="2"/>
      </tp>
      <tp>
        <v>6.5200000000000005</v>
        <stp/>
        <stp>BRKM5_B_0</stp>
        <stp>FEC</stp>
        <tr r="J17" s="2"/>
      </tp>
      <tp>
        <v>5479</v>
        <stp/>
        <stp>DOLFUT_F_0</stp>
        <stp>MIN</stp>
        <tr r="AS15" s="2"/>
        <tr r="I13" s="5"/>
      </tp>
      <tp t="s">
        <v>17:07:57</v>
        <stp/>
        <stp>BEEF3_B_0</stp>
        <stp>HOR</stp>
        <tr r="E65" s="5"/>
        <tr r="AO67" s="2"/>
      </tp>
      <tp>
        <v>0</v>
        <stp/>
        <stp>WINJ24_F_0</stp>
        <stp>ABE</stp>
        <tr r="G36" s="5"/>
        <tr r="AQ38" s="2"/>
      </tp>
      <tp>
        <v>0</v>
        <stp/>
        <stp>WDOJ24_F_0</stp>
        <stp>ABE</stp>
        <tr r="G49" s="5"/>
        <tr r="AQ51" s="2"/>
      </tp>
      <tp>
        <v>0</v>
        <stp/>
        <stp>WDOH24_F_0</stp>
        <stp>CAB</stp>
        <tr r="BW52" s="2"/>
        <tr r="AM50" s="5"/>
      </tp>
      <tp>
        <v>0</v>
        <stp/>
        <stp>WDOX24_F_0</stp>
        <stp>SEM</stp>
        <tr r="BM56" s="2"/>
        <tr r="AC54" s="5"/>
      </tp>
      <tp>
        <v>0</v>
        <stp/>
        <stp>WINM24_F_0</stp>
        <stp>FEC</stp>
        <tr r="AT40" s="2"/>
        <tr r="J38" s="5"/>
      </tp>
      <tp>
        <v>0</v>
        <stp/>
        <stp>WDOM24_F_0</stp>
        <stp>FEC</stp>
        <tr r="AT49" s="2"/>
        <tr r="J47" s="5"/>
      </tp>
      <tp>
        <v>0</v>
        <stp/>
        <stp>WINJ24_F_0</stp>
        <stp>AJA</stp>
        <tr r="BI38" s="2"/>
        <tr r="Y36" s="5"/>
      </tp>
      <tp>
        <v>0</v>
        <stp/>
        <stp>WDOJ24_F_0</stp>
        <stp>AJA</stp>
        <tr r="BI51" s="2"/>
        <tr r="Y49" s="5"/>
      </tp>
      <tp>
        <v>0</v>
        <stp/>
        <stp>WINJ24_F_0</stp>
        <stp>AJU</stp>
        <tr r="BH38" s="2"/>
        <tr r="X36" s="5"/>
      </tp>
      <tp>
        <v>0</v>
        <stp/>
        <stp>WDOJ24_F_0</stp>
        <stp>AJU</stp>
        <tr r="BH51" s="2"/>
        <tr r="X49" s="5"/>
      </tp>
      <tp>
        <v>0</v>
        <stp/>
        <stp>WDOJ24_F_0</stp>
        <stp>ANO</stp>
        <tr r="BR51" s="2"/>
        <tr r="AH49" s="5"/>
      </tp>
      <tp>
        <v>0</v>
        <stp/>
        <stp>WINJ24_F_0</stp>
        <stp>ANO</stp>
        <tr r="BR38" s="2"/>
        <tr r="AH36" s="5"/>
      </tp>
      <tp t="s">
        <v>NONE</v>
        <stp/>
        <stp>WDON24_F_0</stp>
        <stp>EST</stp>
        <tr r="BX50" s="2"/>
        <tr r="AN48" s="5"/>
      </tp>
      <tp>
        <v>-22.703131298365925</v>
        <stp/>
        <stp>KLBN11_B_0</stp>
        <stp>ANO</stp>
        <tr r="BR82" s="2"/>
        <tr r="AH80" s="5"/>
      </tp>
      <tp t="s">
        <v>-</v>
        <stp/>
        <stp>DOLPT_E_0</stp>
        <stp>GAMA</stp>
        <tr r="CB16" s="2"/>
        <tr r="AR14" s="5"/>
      </tp>
      <tp>
        <v>48.2</v>
        <stp/>
        <stp>ENGI11_B_0</stp>
        <stp>FEC</stp>
        <tr r="J35" s="2"/>
      </tp>
      <tp>
        <v>0</v>
        <stp/>
        <stp>WINZ24_F_0</stp>
        <stp>QTE</stp>
        <tr r="BK43" s="2"/>
        <tr r="AA41" s="5"/>
      </tp>
      <tp>
        <v>0</v>
        <stp/>
        <stp>WINZ24_F_0</stp>
        <stp>QTT</stp>
        <tr r="BB43" s="2"/>
        <tr r="R41" s="5"/>
      </tp>
      <tp>
        <v>0</v>
        <stp/>
        <stp>KLBN11_B_0</stp>
        <stp>AJA</stp>
        <tr r="BI82" s="2"/>
        <tr r="Y80" s="5"/>
      </tp>
      <tp>
        <v>0</v>
        <stp/>
        <stp>WINZ24_F_0</stp>
        <stp>QUL</stp>
        <tr r="BA43" s="2"/>
        <tr r="Q41" s="5"/>
      </tp>
      <tp>
        <v>0</v>
        <stp/>
        <stp>KLBN11_B_0</stp>
        <stp>AJU</stp>
        <tr r="BH82" s="2"/>
        <tr r="X80" s="5"/>
      </tp>
      <tp>
        <v>0</v>
        <stp/>
        <stp>INDM24_F_0</stp>
        <stp>FEC</stp>
        <tr r="AT45" s="2"/>
        <tr r="J43" s="5"/>
      </tp>
      <tp>
        <v>23.05</v>
        <stp/>
        <stp>IGTI11_B_0</stp>
        <stp>FEC</stp>
        <tr r="J44" s="2"/>
      </tp>
      <tp>
        <v>17.45</v>
        <stp/>
        <stp>KLBN11_B_0</stp>
        <stp>ABE</stp>
        <tr r="G80" s="5"/>
        <tr r="AQ82" s="2"/>
      </tp>
      <tp t="s">
        <v>-</v>
        <stp/>
        <stp>INDM24_F_0</stp>
        <stp>DOBRAR</stp>
        <tr r="CH45" s="2"/>
        <tr r="AX43" s="5"/>
      </tp>
      <tp>
        <v>-0.18000000000000327</v>
        <stp/>
        <stp>BBAS3_B_0</stp>
        <stp>VARPTS</stp>
        <tr r="AW14" s="2"/>
        <tr r="M12" s="5"/>
      </tp>
      <tp>
        <v>0.23999999999999844</v>
        <stp/>
        <stp>BBDC4_B_0</stp>
        <stp>VARPTS</stp>
        <tr r="AW27" s="2"/>
        <tr r="M25" s="5"/>
      </tp>
      <tp>
        <v>0.1899999999999995</v>
        <stp/>
        <stp>ABEV3_B_0</stp>
        <stp>VARPTS</stp>
        <tr r="AW20" s="2"/>
        <tr r="M18" s="5"/>
      </tp>
      <tp t="s">
        <v>-</v>
        <stp/>
        <stp>INDFUT_F_0</stp>
        <stp>DOBRAR</stp>
        <tr r="CH17" s="2"/>
        <tr r="AX15" s="5"/>
      </tp>
      <tp>
        <v>0.13999999999999968</v>
        <stp/>
        <stp>HBSA3_B_0</stp>
        <stp>VARPTS</stp>
        <tr r="AW58" s="2"/>
        <tr r="M56" s="5"/>
      </tp>
      <tp>
        <v>0</v>
        <stp/>
        <stp>JBSS3_B_0</stp>
        <stp>VARPTS</stp>
        <tr r="AW64" s="2"/>
        <tr r="M62" s="5"/>
      </tp>
      <tp>
        <v>-5.7692307692307745</v>
        <stp/>
        <stp>RCSL3_B_0</stp>
        <stp>TRIM</stp>
        <tr r="BS65" s="2"/>
        <tr r="AI63" s="5"/>
      </tp>
      <tp>
        <v>-3.7570444583594216</v>
        <stp/>
        <stp>RAIL3_B_0</stp>
        <stp>TRIM</stp>
        <tr r="BS60" s="2"/>
        <tr r="AI58" s="5"/>
      </tp>
      <tp t="s">
        <v>-</v>
        <stp/>
        <stp>PETR4_B_0</stp>
        <stp>VEN</stp>
        <tr r="BU11" s="2"/>
        <tr r="AK9" s="5"/>
      </tp>
      <tp>
        <v>0</v>
        <stp/>
        <stp>CYRE3_B_0</stp>
        <stp>PRT</stp>
        <tr r="L30" s="2"/>
        <tr r="Z26" s="5"/>
        <tr r="BJ28" s="2"/>
      </tp>
      <tp>
        <v>-5.1085568326947568</v>
        <stp/>
        <stp>ECOR3_B_0</stp>
        <stp>MES</stp>
        <tr r="BN7" s="2"/>
        <tr r="AD5" s="5"/>
      </tp>
      <tp>
        <v>0</v>
        <stp/>
        <stp>AURE3_B_0</stp>
        <stp>PRT</stp>
        <tr r="L9" s="2"/>
      </tp>
      <tp>
        <v>7.4827686907162594</v>
        <stp/>
        <stp>ECOR3_B_0</stp>
        <stp>MED</stp>
        <tr r="AX7" s="2"/>
        <tr r="N5" s="5"/>
      </tp>
      <tp t="s">
        <v>-</v>
        <stp/>
        <stp>CAML3_B_0</stp>
        <stp>IMPVT</stp>
        <tr r="BZ83" s="2"/>
        <tr r="AP81" s="5"/>
      </tp>
      <tp>
        <v>0</v>
        <stp/>
        <stp>MBRF3_B_0</stp>
        <stp>PRT</stp>
        <tr r="L54" s="2"/>
      </tp>
      <tp>
        <v>0</v>
        <stp/>
        <stp>GFSA3_B_0</stp>
        <stp>QUL</stp>
        <tr r="BA22" s="2"/>
        <tr r="Q20" s="5"/>
      </tp>
      <tp>
        <v>0</v>
        <stp/>
        <stp>B3SA3_B_0</stp>
        <stp>QUL</stp>
        <tr r="BA21" s="2"/>
        <tr r="Q19" s="5"/>
      </tp>
      <tp>
        <v>0</v>
        <stp/>
        <stp>ITSA4_B_0</stp>
        <stp>QUL</stp>
        <tr r="BA31" s="2"/>
        <tr r="Q29" s="5"/>
      </tp>
      <tp>
        <v>0</v>
        <stp/>
        <stp>GOAU4_B_0</stp>
        <stp>CAB</stp>
        <tr r="BW19" s="2"/>
        <tr r="AM17" s="5"/>
      </tp>
      <tp>
        <v>0</v>
        <stp/>
        <stp>HBSA3_B_0</stp>
        <stp>QUL</stp>
        <tr r="BA58" s="2"/>
        <tr r="Q56" s="5"/>
      </tp>
      <tp>
        <v>29390100</v>
        <stp/>
        <stp>ITSA4_B_0</stp>
        <stp>QTT</stp>
        <tr r="BB31" s="2"/>
        <tr r="R29" s="5"/>
      </tp>
      <tp>
        <v>3858800</v>
        <stp/>
        <stp>HBSA3_B_0</stp>
        <stp>QTT</stp>
        <tr r="BB58" s="2"/>
        <tr r="R56" s="5"/>
      </tp>
      <tp>
        <v>413300</v>
        <stp/>
        <stp>GFSA3_B_0</stp>
        <stp>QTT</stp>
        <tr r="BB22" s="2"/>
        <tr r="R20" s="5"/>
      </tp>
      <tp>
        <v>21727500</v>
        <stp/>
        <stp>B3SA3_B_0</stp>
        <stp>QTT</stp>
        <tr r="BB21" s="2"/>
        <tr r="R19" s="5"/>
      </tp>
      <tp>
        <v>0</v>
        <stp/>
        <stp>ITSA4_B_0</stp>
        <stp>QTE</stp>
        <tr r="BK31" s="2"/>
        <tr r="AA29" s="5"/>
      </tp>
      <tp>
        <v>0</v>
        <stp/>
        <stp>HBSA3_B_0</stp>
        <stp>QTE</stp>
        <tr r="BK58" s="2"/>
        <tr r="AA56" s="5"/>
      </tp>
      <tp>
        <v>0</v>
        <stp/>
        <stp>GFSA3_B_0</stp>
        <stp>QTE</stp>
        <tr r="BK22" s="2"/>
        <tr r="AA20" s="5"/>
      </tp>
      <tp>
        <v>0</v>
        <stp/>
        <stp>B3SA3_B_0</stp>
        <stp>QTE</stp>
        <tr r="BK21" s="2"/>
        <tr r="AA19" s="5"/>
      </tp>
      <tp>
        <v>0</v>
        <stp/>
        <stp>GMAT3_B_0</stp>
        <stp>CAB</stp>
        <tr r="BW59" s="2"/>
        <tr r="AM57" s="5"/>
      </tp>
      <tp t="s">
        <v>-</v>
        <stp/>
        <stp>VAMO3_B_0</stp>
        <stp>THETA</stp>
        <tr r="CC74" s="2"/>
        <tr r="AS72" s="5"/>
      </tp>
      <tp t="s">
        <v>-</v>
        <stp/>
        <stp>VALE3_B_0</stp>
        <stp>THETA</stp>
        <tr r="CC12" s="2"/>
        <tr r="AS10" s="5"/>
      </tp>
      <tp t="s">
        <v>22/09/2025</v>
        <stp/>
        <stp>BRFS3_B_0</stp>
        <stp>DAT</stp>
        <tr r="D31" s="5"/>
        <tr r="AN33" s="2"/>
      </tp>
      <tp>
        <v>0</v>
        <stp/>
        <stp>BBAS3_B_0</stp>
        <stp>CAB</stp>
        <tr r="BW14" s="2"/>
        <tr r="AM12" s="5"/>
      </tp>
      <tp t="s">
        <v>31/12/9999</v>
        <stp/>
        <stp>PETR4_B_0</stp>
        <stp>VAL</stp>
        <tr r="BV11" s="2"/>
        <tr r="AL9" s="5"/>
      </tp>
      <tp>
        <v>7.57</v>
        <stp/>
        <stp>ECOR3_B_0</stp>
        <stp>MAX</stp>
        <tr r="AR7" s="2"/>
        <tr r="H5" s="5"/>
      </tp>
      <tp>
        <v>0</v>
        <stp/>
        <stp>PCAR3_B_0</stp>
        <stp>CAB</stp>
        <tr r="BW70" s="2"/>
        <tr r="AM68" s="5"/>
      </tp>
      <tp>
        <v>-0.69467416473700727</v>
        <stp/>
        <stp>PETR4_B_0</stp>
        <stp>VAR</stp>
        <tr r="AV11" s="2"/>
        <tr r="L9" s="5"/>
      </tp>
      <tp>
        <v>12013</v>
        <stp/>
        <stp>MGLU3_B_0</stp>
        <stp>NEG</stp>
        <tr r="AZ35" s="2"/>
        <tr r="P33" s="5"/>
      </tp>
      <tp t="s">
        <v>-</v>
        <stp/>
        <stp>TUPY3_B_0</stp>
        <stp>RHO</stp>
        <tr r="CD81" s="2"/>
        <tr r="AT79" s="5"/>
      </tp>
      <tp>
        <v>0</v>
        <stp/>
        <stp>BRAP4_B_0</stp>
        <stp>CAB</stp>
        <tr r="BW30" s="2"/>
        <tr r="AM28" s="5"/>
      </tp>
      <tp>
        <v>27142580</v>
        <stp/>
        <stp>SMTO3_B_0</stp>
        <stp>VPJ</stp>
        <tr r="AB64" s="5"/>
        <tr r="BL66" s="2"/>
      </tp>
      <tp t="s">
        <v>-</v>
        <stp/>
        <stp>CIEL3_B_0</stp>
        <stp>IMPVT</stp>
        <tr r="BZ8" s="2"/>
        <tr r="AP6" s="5"/>
      </tp>
      <tp t="s">
        <v>-</v>
        <stp/>
        <stp>RAPT4_B_0</stp>
        <stp>RHO</stp>
        <tr r="CD76" s="2"/>
        <tr r="AT74" s="5"/>
      </tp>
      <tp>
        <v>845997605</v>
        <stp/>
        <stp>PETR4_B_0</stp>
        <stp>VOL</stp>
        <tr r="BC11" s="2"/>
        <tr r="S9" s="5"/>
      </tp>
      <tp>
        <v>0</v>
        <stp/>
        <stp>AGRO3_B_0</stp>
        <stp>PRT</stp>
        <tr r="BJ71" s="2"/>
        <tr r="Z69" s="5"/>
      </tp>
      <tp>
        <v>100</v>
        <stp/>
        <stp>PETR4_B_0</stp>
        <stp>VOC</stp>
        <tr r="BF11" s="2"/>
        <tr r="V9" s="5"/>
      </tp>
      <tp>
        <v>20000</v>
        <stp/>
        <stp>PETR4_B_0</stp>
        <stp>VOV</stp>
        <tr r="BG11" s="2"/>
        <tr r="W9" s="5"/>
      </tp>
      <tp t="s">
        <v>-</v>
        <stp/>
        <stp>VIVT3_B_0</stp>
        <stp>THETA</stp>
        <tr r="CC9" s="2"/>
        <tr r="AS7" s="5"/>
      </tp>
      <tp>
        <v>4.97</v>
        <stp/>
        <stp>CAML3_B_0</stp>
        <stp>OVD</stp>
        <tr r="BE83" s="2"/>
        <tr r="U81" s="5"/>
      </tp>
      <tp>
        <v>0</v>
        <stp/>
        <stp>ARML3_B_0</stp>
        <stp>OVD</stp>
        <tr r="BE80" s="2"/>
        <tr r="U78" s="5"/>
      </tp>
      <tp t="s">
        <v>-</v>
        <stp/>
        <stp>PETR4_B_0</stp>
        <stp>VIA</stp>
        <tr r="CF11" s="2"/>
        <tr r="AV9" s="5"/>
      </tp>
      <tp t="s">
        <v>-</v>
        <stp/>
        <stp>PETR4_B_0</stp>
        <stp>VIB</stp>
        <tr r="CG11" s="2"/>
        <tr r="AW9" s="5"/>
      </tp>
      <tp>
        <v>7.42</v>
        <stp/>
        <stp>ECOR3_B_0</stp>
        <stp>MIN</stp>
        <tr r="AS7" s="2"/>
        <tr r="I5" s="5"/>
      </tp>
      <tp>
        <v>0</v>
        <stp/>
        <stp>RCSL3_B_0</stp>
        <stp>QTE</stp>
        <tr r="BK65" s="2"/>
        <tr r="AA63" s="5"/>
      </tp>
      <tp>
        <v>25100</v>
        <stp/>
        <stp>RCSL3_B_0</stp>
        <stp>QTT</stp>
        <tr r="R63" s="5"/>
        <tr r="BB65" s="2"/>
      </tp>
      <tp>
        <v>0</v>
        <stp/>
        <stp>RCSL3_B_0</stp>
        <stp>QUL</stp>
        <tr r="BA65" s="2"/>
        <tr r="Q63" s="5"/>
      </tp>
      <tp>
        <v>2.94</v>
        <stp/>
        <stp>VAMO3_B_0</stp>
        <stp>OVD</stp>
        <tr r="BE74" s="2"/>
        <tr r="U72" s="5"/>
      </tp>
      <tp t="s">
        <v>22/09/2025</v>
        <stp/>
        <stp>MRFG3_B_0</stp>
        <stp>DAT</stp>
        <tr r="D66" s="5"/>
        <tr r="AN68" s="2"/>
      </tp>
      <tp t="s">
        <v>-</v>
        <stp/>
        <stp>SMTO3_B_0</stp>
        <stp>VIA</stp>
        <tr r="AV64" s="5"/>
        <tr r="CF66" s="2"/>
      </tp>
      <tp t="s">
        <v>-</v>
        <stp/>
        <stp>SMTO3_B_0</stp>
        <stp>VIB</stp>
        <tr r="AW64" s="5"/>
        <tr r="CG66" s="2"/>
      </tp>
      <tp>
        <v>14.450000000000001</v>
        <stp/>
        <stp>BBDC3_B_0</stp>
        <stp>FEC</stp>
        <tr r="J13" s="2"/>
      </tp>
      <tp>
        <v>16.920000000000002</v>
        <stp/>
        <stp>BBDC4_B_0</stp>
        <stp>FEC</stp>
        <tr r="J14" s="2"/>
        <tr r="AT27" s="2"/>
        <tr r="J25" s="5"/>
      </tp>
      <tp>
        <v>0</v>
        <stp/>
        <stp>JBSS3_B_0</stp>
        <stp>QUL</stp>
        <tr r="Q62" s="5"/>
        <tr r="BA64" s="2"/>
      </tp>
      <tp t="s">
        <v>-</v>
        <stp/>
        <stp>RENT3_B_0</stp>
        <stp>BLACK</stp>
        <tr r="BY24" s="2"/>
        <tr r="AO22" s="5"/>
      </tp>
      <tp>
        <v>0</v>
        <stp/>
        <stp>JBSS3_B_0</stp>
        <stp>QTT</stp>
        <tr r="BB64" s="2"/>
        <tr r="R62" s="5"/>
      </tp>
      <tp>
        <v>15.65</v>
        <stp/>
        <stp>SLCE3_B_0</stp>
        <stp>ABE</stp>
        <tr r="G77" s="5"/>
        <tr r="AQ79" s="2"/>
      </tp>
      <tp>
        <v>0</v>
        <stp/>
        <stp>CIEL3_B_0</stp>
        <stp>TRIM</stp>
        <tr r="BS8" s="2"/>
        <tr r="AI6" s="5"/>
      </tp>
      <tp>
        <v>0</v>
        <stp/>
        <stp>JBSS3_B_0</stp>
        <stp>QTE</stp>
        <tr r="BK64" s="2"/>
        <tr r="AA62" s="5"/>
      </tp>
      <tp>
        <v>-2.7722772277227659</v>
        <stp/>
        <stp>CAML3_B_0</stp>
        <stp>TRIM</stp>
        <tr r="BS83" s="2"/>
        <tr r="AI81" s="5"/>
      </tp>
      <tp t="s">
        <v>-</v>
        <stp/>
        <stp>KEPL3_B_0</stp>
        <stp>RHO</stp>
        <tr r="CD73" s="2"/>
        <tr r="AT71" s="5"/>
      </tp>
      <tp t="s">
        <v>-</v>
        <stp/>
        <stp>CRFB3_B_0</stp>
        <stp>IMPVT</stp>
        <tr r="BZ63" s="2"/>
        <tr r="AP61" s="5"/>
      </tp>
      <tp>
        <v>-18.327983098746127</v>
        <stp/>
        <stp>ARML3_B_0</stp>
        <stp>TRIM</stp>
        <tr r="BS80" s="2"/>
        <tr r="AI78" s="5"/>
      </tp>
      <tp>
        <v>0</v>
        <stp/>
        <stp>DXCO3_B_0</stp>
        <stp>AJU</stp>
        <tr r="BH75" s="2"/>
        <tr r="X73" s="5"/>
      </tp>
      <tp>
        <v>0</v>
        <stp/>
        <stp>DXCO3_B_0</stp>
        <stp>AJA</stp>
        <tr r="BI75" s="2"/>
        <tr r="Y73" s="5"/>
      </tp>
      <tp t="s">
        <v>-</v>
        <stp/>
        <stp>CSAN3_B_0</stp>
        <stp>IMPVT</stp>
        <tr r="BZ62" s="2"/>
        <tr r="AP60" s="5"/>
      </tp>
      <tp t="s">
        <v>-</v>
        <stp/>
        <stp>CSNA3_B_0</stp>
        <stp>IMPVT</stp>
        <tr r="BZ10" s="2"/>
        <tr r="AP8" s="5"/>
      </tp>
      <tp>
        <v>845997605</v>
        <stp/>
        <stp>PETR4_B_0</stp>
        <stp>VPJ</stp>
        <tr r="BL11" s="2"/>
        <tr r="AB9" s="5"/>
      </tp>
      <tp t="s">
        <v>-</v>
        <stp/>
        <stp>RAIL3_B_0</stp>
        <stp>BLACK</stp>
        <tr r="BY60" s="2"/>
        <tr r="AO58" s="5"/>
      </tp>
      <tp t="s">
        <v>-</v>
        <stp/>
        <stp>RANI3_B_0</stp>
        <stp>BLACK</stp>
        <tr r="BY85" s="2"/>
        <tr r="AO83" s="5"/>
        <tr r="BY92" s="2"/>
        <tr r="BY91" s="2"/>
        <tr r="BY89" s="2"/>
        <tr r="BY88" s="2"/>
        <tr r="BY90" s="2"/>
        <tr r="BY87" s="2"/>
        <tr r="BY86" s="2"/>
      </tp>
      <tp t="s">
        <v>30/12/1899</v>
        <stp/>
        <stp>CRFB3_B_0</stp>
        <stp>DAT</stp>
        <tr r="AN63" s="2"/>
        <tr r="D61" s="5"/>
      </tp>
      <tp>
        <v>0</v>
        <stp/>
        <stp>CYRE3_B_0</stp>
        <stp>PEX</stp>
        <tr r="K26" s="5"/>
        <tr r="AU28" s="2"/>
      </tp>
      <tp>
        <v>27142580</v>
        <stp/>
        <stp>SMTO3_B_0</stp>
        <stp>VOL</stp>
        <tr r="S64" s="5"/>
        <tr r="BC66" s="2"/>
      </tp>
      <tp>
        <v>31681</v>
        <stp/>
        <stp>VALE3_B_0</stp>
        <stp>NEG</stp>
        <tr r="AZ12" s="2"/>
        <tr r="P10" s="5"/>
      </tp>
      <tp>
        <v>0</v>
        <stp/>
        <stp>DIRR3_B_0</stp>
        <stp>PRT</stp>
        <tr r="L31" s="2"/>
      </tp>
      <tp>
        <v>100</v>
        <stp/>
        <stp>SMTO3_B_0</stp>
        <stp>VOC</stp>
        <tr r="V64" s="5"/>
        <tr r="BF66" s="2"/>
      </tp>
      <tp>
        <v>1000</v>
        <stp/>
        <stp>SMTO3_B_0</stp>
        <stp>VOV</stp>
        <tr r="W64" s="5"/>
        <tr r="BG66" s="2"/>
      </tp>
      <tp t="s">
        <v>-</v>
        <stp/>
        <stp>RCSL3_B_0</stp>
        <stp>BLACK</stp>
        <tr r="BY65" s="2"/>
        <tr r="AO63" s="5"/>
      </tp>
      <tp>
        <v>-16.501461644433984</v>
        <stp/>
        <stp>DXCO3_B_0</stp>
        <stp>ANO</stp>
        <tr r="BR75" s="2"/>
        <tr r="AH73" s="5"/>
      </tp>
      <tp t="s">
        <v>31/12/9999</v>
        <stp/>
        <stp>SMTO3_B_0</stp>
        <stp>VAL</stp>
        <tr r="AL64" s="5"/>
        <tr r="BV66" s="2"/>
      </tp>
      <tp>
        <v>0</v>
        <stp/>
        <stp>SMTO3_B_0</stp>
        <stp>VAR</stp>
        <tr r="L64" s="5"/>
        <tr r="AV66" s="2"/>
      </tp>
      <tp>
        <v>-5.4744525547445217</v>
        <stp/>
        <stp>JALL3_B_0</stp>
        <stp>TRIM</stp>
        <tr r="BS69" s="2"/>
        <tr r="AI67" s="5"/>
      </tp>
      <tp>
        <v>4.9000000000000004</v>
        <stp/>
        <stp>CAML3_B_0</stp>
        <stp>OCP</stp>
        <tr r="BD83" s="2"/>
        <tr r="T81" s="5"/>
      </tp>
      <tp>
        <v>0</v>
        <stp/>
        <stp>SLCE3_B_0</stp>
        <stp>AJA</stp>
        <tr r="BI79" s="2"/>
        <tr r="Y77" s="5"/>
      </tp>
      <tp>
        <v>0</v>
        <stp/>
        <stp>ARML3_B_0</stp>
        <stp>OCP</stp>
        <tr r="BD80" s="2"/>
        <tr r="T78" s="5"/>
      </tp>
      <tp>
        <v>0</v>
        <stp/>
        <stp>CSAN3_B_0</stp>
        <stp>CAB</stp>
        <tr r="BW62" s="2"/>
        <tr r="AM60" s="5"/>
      </tp>
      <tp>
        <v>0</v>
        <stp/>
        <stp>SLCE3_B_0</stp>
        <stp>AJU</stp>
        <tr r="BH79" s="2"/>
        <tr r="X77" s="5"/>
      </tp>
      <tp>
        <v>-3.1420765027322344</v>
        <stp/>
        <stp>KEPL3_B_0</stp>
        <stp>TRIM</stp>
        <tr r="BS73" s="2"/>
        <tr r="AI71" s="5"/>
      </tp>
      <tp t="s">
        <v>14/10/2025</v>
        <stp/>
        <stp>IBOV_B_0</stp>
        <stp>DAT</stp>
        <tr r="D4" s="5"/>
        <tr r="AN6" s="2"/>
      </tp>
      <tp t="s">
        <v>-</v>
        <stp/>
        <stp>CYRE3_B_0</stp>
        <stp>IMPVT</stp>
        <tr r="BZ28" s="2"/>
        <tr r="AP26" s="5"/>
      </tp>
      <tp>
        <v>2.9</v>
        <stp/>
        <stp>VAMO3_B_0</stp>
        <stp>OCP</stp>
        <tr r="BD74" s="2"/>
        <tr r="T72" s="5"/>
      </tp>
      <tp>
        <v>5.1100000000000003</v>
        <stp/>
        <stp>DXCO3_B_0</stp>
        <stp>ABE</stp>
        <tr r="AQ75" s="2"/>
        <tr r="G73" s="5"/>
      </tp>
      <tp>
        <v>0</v>
        <stp/>
        <stp>AGRO3_B_0</stp>
        <stp>PEX</stp>
        <tr r="AU71" s="2"/>
        <tr r="K69" s="5"/>
      </tp>
      <tp t="s">
        <v>-</v>
        <stp/>
        <stp>SMTO3_B_0</stp>
        <stp>VEN</stp>
        <tr r="AK64" s="5"/>
        <tr r="BU66" s="2"/>
      </tp>
      <tp>
        <v>-7.7856206691860566</v>
        <stp/>
        <stp>SLCE3_B_0</stp>
        <stp>ANO</stp>
        <tr r="BR79" s="2"/>
        <tr r="AH77" s="5"/>
      </tp>
      <tp>
        <v>0</v>
        <stp/>
        <stp>FLRY3_B_0</stp>
        <stp>PRT</stp>
        <tr r="L39" s="2"/>
      </tp>
      <tp>
        <v>0</v>
        <stp/>
        <stp>CURY3_B_0</stp>
        <stp>PRT</stp>
        <tr r="L28" s="2"/>
      </tp>
      <tp>
        <v>0</v>
        <stp/>
        <stp>ASAI3_B_0</stp>
        <stp>CAB</stp>
        <tr r="BW61" s="2"/>
        <tr r="AM59" s="5"/>
      </tp>
      <tp>
        <v>18.650000000000002</v>
        <stp/>
        <stp>RADL3_B_0</stp>
        <stp>FEC</stp>
        <tr r="J66" s="2"/>
      </tp>
      <tp>
        <v>1639</v>
        <stp/>
        <stp>JALL3_B_0</stp>
        <stp>NEG</stp>
        <tr r="AZ69" s="2"/>
        <tr r="P67" s="5"/>
      </tp>
      <tp>
        <v>0</v>
        <stp/>
        <stp>WDOK24_F_0</stp>
        <stp>OCP</stp>
        <tr r="BD39" s="2"/>
        <tr r="T37" s="5"/>
      </tp>
      <tp>
        <v>-7.0409137332059197</v>
        <stp/>
        <stp>DOLPRO_#_0</stp>
        <stp>12M</stp>
        <tr r="AG44" s="5"/>
        <tr r="BQ46" s="2"/>
      </tp>
      <tp>
        <v>0</v>
        <stp/>
        <stp>WING24_F_0</stp>
        <stp>CAB</stp>
        <tr r="BW42" s="2"/>
        <tr r="AM40" s="5"/>
      </tp>
      <tp>
        <v>0</v>
        <stp/>
        <stp>WDOG24_F_0</stp>
        <stp>CAB</stp>
        <tr r="BW53" s="2"/>
        <tr r="AM51" s="5"/>
      </tp>
      <tp>
        <v>0</v>
        <stp/>
        <stp>WINJ24_F_0</stp>
        <stp>NEG</stp>
        <tr r="AZ38" s="2"/>
        <tr r="P36" s="5"/>
      </tp>
      <tp>
        <v>0</v>
        <stp/>
        <stp>WDOJ24_F_0</stp>
        <stp>NEG</stp>
        <tr r="AZ51" s="2"/>
        <tr r="P49" s="5"/>
      </tp>
      <tp t="s">
        <v>-</v>
        <stp/>
        <stp>WDOV24_F_0</stp>
        <stp>RHO</stp>
        <tr r="CD57" s="2"/>
        <tr r="AT55" s="5"/>
      </tp>
      <tp t="s">
        <v>-</v>
        <stp/>
        <stp>WINV24_F_0</stp>
        <stp>RHO</stp>
        <tr r="CD44" s="2"/>
        <tr r="AT42" s="5"/>
      </tp>
      <tp>
        <v>0</v>
        <stp/>
        <stp>WINQ24_F_0</stp>
        <stp>ULT</stp>
        <tr r="F39" s="5"/>
        <tr r="AP41" s="2"/>
      </tp>
      <tp>
        <v>0</v>
        <stp/>
        <stp>WDOQ24_F_0</stp>
        <stp>ULT</stp>
        <tr r="F52" s="5"/>
        <tr r="AP54" s="2"/>
      </tp>
      <tp>
        <v>0</v>
        <stp/>
        <stp>WDOK24_F_0</stp>
        <stp>OVD</stp>
        <tr r="U37" s="5"/>
        <tr r="BE39" s="2"/>
      </tp>
      <tp>
        <v>0</v>
        <stp/>
        <stp>WDOU24_F_0</stp>
        <stp>QTE</stp>
        <tr r="AA53" s="5"/>
        <tr r="BK55" s="2"/>
      </tp>
      <tp>
        <v>0</v>
        <stp/>
        <stp>WDOU24_F_0</stp>
        <stp>QTT</stp>
        <tr r="BB55" s="2"/>
        <tr r="R53" s="5"/>
      </tp>
      <tp>
        <v>0</v>
        <stp/>
        <stp>WDOU24_F_0</stp>
        <stp>QUL</stp>
        <tr r="Q53" s="5"/>
        <tr r="BA55" s="2"/>
      </tp>
      <tp>
        <v>8033</v>
        <stp/>
        <stp>KLBN11_B_0</stp>
        <stp>NEG</stp>
        <tr r="AZ82" s="2"/>
        <tr r="P80" s="5"/>
      </tp>
      <tp>
        <v>4.0000000000000924E-2</v>
        <stp/>
        <stp>CMIG4_B_0</stp>
        <stp>VARPTS</stp>
        <tr r="AW23" s="2"/>
        <tr r="M21" s="5"/>
      </tp>
      <tp t="s">
        <v>-</v>
        <stp/>
        <stp>DOLPT_E_0</stp>
        <stp>DOBRAR</stp>
        <tr r="CH16" s="2"/>
        <tr r="AX14" s="5"/>
      </tp>
      <tp>
        <v>-0.11000000000000032</v>
        <stp/>
        <stp>GMAT3_B_0</stp>
        <stp>VARPTS</stp>
        <tr r="AW59" s="2"/>
        <tr r="M57" s="5"/>
      </tp>
      <tp>
        <v>3.8500000000000085</v>
        <stp/>
        <stp>EMBR3_B_0</stp>
        <stp>VARPTS</stp>
        <tr r="AW26" s="2"/>
        <tr r="M24" s="5"/>
      </tp>
      <tp t="s">
        <v>-</v>
        <stp/>
        <stp>GOAU4_B_0</stp>
        <stp>DOBRAR</stp>
        <tr r="CH19" s="2"/>
        <tr r="AX17" s="5"/>
      </tp>
      <tp>
        <v>0</v>
        <stp/>
        <stp>SMTO3_B_0</stp>
        <stp>VARPTS</stp>
        <tr r="M64" s="5"/>
        <tr r="AW66" s="2"/>
      </tp>
      <tp>
        <v>-3.6284353509861833</v>
        <stp/>
        <stp>INDFUT_F_0</stp>
        <stp>TRIM</stp>
        <tr r="AI15" s="5"/>
        <tr r="BS17" s="2"/>
      </tp>
      <tp>
        <v>8.66</v>
        <stp/>
        <stp>MGLU3_B_0</stp>
        <stp>OCP</stp>
        <tr r="BD35" s="2"/>
        <tr r="T33" s="5"/>
      </tp>
      <tp>
        <v>0</v>
        <stp/>
        <stp>JBSS3_B_0</stp>
        <stp>PEX</stp>
        <tr r="AU64" s="2"/>
        <tr r="K62" s="5"/>
      </tp>
      <tp t="s">
        <v>-</v>
        <stp/>
        <stp>SUZB3_B_0</stp>
        <stp>BLACK</stp>
        <tr r="AO23" s="5"/>
        <tr r="BY25" s="2"/>
      </tp>
      <tp>
        <v>9.9290780141843946</v>
        <stp/>
        <stp>USIM5_B_0</stp>
        <stp>TRIM</stp>
        <tr r="BS29" s="2"/>
        <tr r="AI27" s="5"/>
      </tp>
      <tp>
        <v>0</v>
        <stp/>
        <stp>CXSE3_B_0</stp>
        <stp>PRT</stp>
        <tr r="L20" s="2"/>
      </tp>
      <tp>
        <v>0</v>
        <stp/>
        <stp>BBSE3_B_0</stp>
        <stp>PRT</stp>
        <tr r="L12" s="2"/>
      </tp>
      <tp t="s">
        <v>Fechado</v>
        <stp/>
        <stp>MRFG3_B_0</stp>
        <stp>EST</stp>
        <tr r="BX68" s="2"/>
        <tr r="AN66" s="5"/>
      </tp>
      <tp t="s">
        <v>-</v>
        <stp/>
        <stp>ARZZ3_B_0</stp>
        <stp>VEXT</stp>
        <tr r="CK72" s="2"/>
        <tr r="BA70" s="5"/>
      </tp>
      <tp t="s">
        <v>-</v>
        <stp/>
        <stp>BBAS3_B_0</stp>
        <stp>IMPVT</stp>
        <tr r="BZ14" s="2"/>
        <tr r="AP12" s="5"/>
      </tp>
      <tp>
        <v>36.450000000000003</v>
        <stp/>
        <stp>RENT3_B_0</stp>
        <stp>MAX</stp>
        <tr r="AR24" s="2"/>
        <tr r="H22" s="5"/>
      </tp>
      <tp>
        <v>943649</v>
        <stp/>
        <stp>WINFUT_F_0</stp>
        <stp>CAB</stp>
        <tr r="BW36" s="2"/>
        <tr r="AM34" s="5"/>
      </tp>
      <tp>
        <v>1117125</v>
        <stp/>
        <stp>WDOFUT_F_0</stp>
        <stp>CAB</stp>
        <tr r="BW37" s="2"/>
        <tr r="AM35" s="5"/>
      </tp>
      <tp>
        <v>772094642</v>
        <stp/>
        <stp>ITUB4_B_0</stp>
        <stp>VPJ</stp>
        <tr r="BL32" s="2"/>
        <tr r="AB30" s="5"/>
      </tp>
      <tp>
        <v>0</v>
        <stp/>
        <stp>ITSA4_B_0</stp>
        <stp>PRT</stp>
        <tr r="L47" s="2"/>
        <tr r="BJ31" s="2"/>
        <tr r="Z29" s="5"/>
      </tp>
      <tp>
        <v>0</v>
        <stp/>
        <stp>HBSA3_B_0</stp>
        <stp>PRT</stp>
        <tr r="BJ58" s="2"/>
        <tr r="Z56" s="5"/>
      </tp>
      <tp>
        <v>0</v>
        <stp/>
        <stp>GFSA3_B_0</stp>
        <stp>PRT</stp>
        <tr r="BJ22" s="2"/>
        <tr r="Z20" s="5"/>
      </tp>
      <tp>
        <v>59.75</v>
        <stp/>
        <stp>VALE3_B_0</stp>
        <stp>OVD</stp>
        <tr r="BE12" s="2"/>
        <tr r="U10" s="5"/>
      </tp>
      <tp>
        <v>0</v>
        <stp/>
        <stp>B3SA3_B_0</stp>
        <stp>PRT</stp>
        <tr r="L11" s="2"/>
        <tr r="BJ21" s="2"/>
        <tr r="Z19" s="5"/>
      </tp>
      <tp>
        <v>11.860000000000001</v>
        <stp/>
        <stp>ABEV3_B_0</stp>
        <stp>FEC</stp>
        <tr r="J7" s="2"/>
        <tr r="AT20" s="2"/>
        <tr r="J18" s="5"/>
      </tp>
      <tp>
        <v>16.48</v>
        <stp/>
        <stp>ENEV3_B_0</stp>
        <stp>FEC</stp>
        <tr r="J36" s="2"/>
      </tp>
      <tp>
        <v>0</v>
        <stp/>
        <stp>PSSA3_B_0</stp>
        <stp>PRT</stp>
        <tr r="L65" s="2"/>
      </tp>
      <tp t="s">
        <v>-</v>
        <stp/>
        <stp>BEEF3_B_0</stp>
        <stp>IMPVT</stp>
        <tr r="AP65" s="5"/>
        <tr r="BZ67" s="2"/>
      </tp>
      <tp>
        <v>0</v>
        <stp/>
        <stp>CYRE3_B_0</stp>
        <stp>QUL</stp>
        <tr r="Q26" s="5"/>
        <tr r="BA28" s="2"/>
      </tp>
      <tp>
        <v>79.11</v>
        <stp/>
        <stp>EMBR3_B_0</stp>
        <stp>ABE</stp>
        <tr r="G24" s="5"/>
        <tr r="AQ26" s="2"/>
      </tp>
      <tp>
        <v>17.61</v>
        <stp/>
        <stp>GGBR4_B_0</stp>
        <stp>ABE</stp>
        <tr r="G11" s="5"/>
        <tr r="AQ13" s="2"/>
      </tp>
      <tp t="s">
        <v>-</v>
        <stp/>
        <stp>USIM5_B_0</stp>
        <stp>BLACK</stp>
        <tr r="BY29" s="2"/>
        <tr r="AO27" s="5"/>
      </tp>
      <tp>
        <v>0.18939393939393534</v>
        <stp/>
        <stp>RAPT4_B_0</stp>
        <stp>SEM</stp>
        <tr r="BM76" s="2"/>
        <tr r="AC74" s="5"/>
      </tp>
      <tp t="s">
        <v>NONE</v>
        <stp/>
        <stp>CRFB3_B_0</stp>
        <stp>EST</stp>
        <tr r="BX63" s="2"/>
        <tr r="AN61" s="5"/>
      </tp>
      <tp>
        <v>3457800</v>
        <stp/>
        <stp>CYRE3_B_0</stp>
        <stp>QTT</stp>
        <tr r="BB28" s="2"/>
        <tr r="R26" s="5"/>
      </tp>
      <tp>
        <v>36.02100852959898</v>
        <stp/>
        <stp>RENT3_B_0</stp>
        <stp>MED</stp>
        <tr r="AX24" s="2"/>
        <tr r="N22" s="5"/>
      </tp>
      <tp>
        <v>55.010000000000005</v>
        <stp/>
        <stp>ELET6_B_0</stp>
        <stp>FEC</stp>
        <tr r="J33" s="2"/>
      </tp>
      <tp>
        <v>-9.0747782002534798</v>
        <stp/>
        <stp>RENT3_B_0</stp>
        <stp>MES</stp>
        <tr r="BN24" s="2"/>
        <tr r="AD22" s="5"/>
      </tp>
      <tp>
        <v>0</v>
        <stp/>
        <stp>CYRE3_B_0</stp>
        <stp>QTE</stp>
        <tr r="BK28" s="2"/>
        <tr r="AA26" s="5"/>
      </tp>
      <tp>
        <v>52.03</v>
        <stp/>
        <stp>ELET3_B_0</stp>
        <stp>FEC</stp>
        <tr r="J32" s="2"/>
      </tp>
      <tp t="s">
        <v>-</v>
        <stp/>
        <stp>PETR4_B_0</stp>
        <stp>THETA</stp>
        <tr r="CC11" s="2"/>
        <tr r="AS9" s="5"/>
      </tp>
      <tp>
        <v>0</v>
        <stp/>
        <stp>RCSL3_B_0</stp>
        <stp>PRT</stp>
        <tr r="BJ65" s="2"/>
        <tr r="Z63" s="5"/>
      </tp>
      <tp t="s">
        <v>-</v>
        <stp/>
        <stp>RAIZ4_B_0</stp>
        <stp>VEGA</stp>
        <tr r="CE77" s="2"/>
        <tr r="AU75" s="5"/>
      </tp>
      <tp t="s">
        <v>00:00:00</v>
        <stp/>
        <stp>DOLPT_E_0</stp>
        <stp>HOR</stp>
        <tr r="E14" s="5"/>
        <tr r="AO16" s="2"/>
      </tp>
      <tp>
        <v>-1.6706443914081073</v>
        <stp/>
        <stp>TUPY3_B_0</stp>
        <stp>SEM</stp>
        <tr r="BM81" s="2"/>
        <tr r="AC79" s="5"/>
      </tp>
      <tp>
        <v>47.24169015288907</v>
        <stp/>
        <stp>EMBR3_B_0</stp>
        <stp>ANO</stp>
        <tr r="BR26" s="2"/>
        <tr r="AH24" s="5"/>
      </tp>
      <tp>
        <v>-0.2534497324697364</v>
        <stp/>
        <stp>GGBR4_B_0</stp>
        <stp>ANO</stp>
        <tr r="BR13" s="2"/>
        <tr r="AH11" s="5"/>
      </tp>
      <tp>
        <v>35.659999999999997</v>
        <stp/>
        <stp>RENT3_B_0</stp>
        <stp>MIN</stp>
        <tr r="AS24" s="2"/>
        <tr r="I22" s="5"/>
      </tp>
      <tp t="s">
        <v>Fechado</v>
        <stp/>
        <stp>IBOV_B_0</stp>
        <stp>EST</stp>
        <tr r="BX6" s="2"/>
        <tr r="AN4" s="5"/>
      </tp>
      <tp>
        <v>2.65</v>
        <stp/>
        <stp>JALL3_B_0</stp>
        <stp>OVD</stp>
        <tr r="BE69" s="2"/>
        <tr r="U67" s="5"/>
      </tp>
      <tp>
        <v>0</v>
        <stp/>
        <stp>AGRO3_B_0</stp>
        <stp>QUL</stp>
        <tr r="BA71" s="2"/>
        <tr r="Q69" s="5"/>
      </tp>
      <tp t="s">
        <v>-</v>
        <stp/>
        <stp>ABEV3_B_0</stp>
        <stp>VIVH</stp>
        <tr r="CI20" s="2"/>
        <tr r="AY18" s="5"/>
      </tp>
      <tp>
        <v>156600</v>
        <stp/>
        <stp>AGRO3_B_0</stp>
        <stp>QTT</stp>
        <tr r="BB71" s="2"/>
        <tr r="R69" s="5"/>
      </tp>
      <tp>
        <v>0</v>
        <stp/>
        <stp>AGRO3_B_0</stp>
        <stp>QTE</stp>
        <tr r="BK71" s="2"/>
        <tr r="AA69" s="5"/>
      </tp>
      <tp>
        <v>0</v>
        <stp/>
        <stp>EMBR3_B_0</stp>
        <stp>AJU</stp>
        <tr r="BH26" s="2"/>
        <tr r="X24" s="5"/>
      </tp>
      <tp>
        <v>0</v>
        <stp/>
        <stp>GGBR4_B_0</stp>
        <stp>AJU</stp>
        <tr r="BH13" s="2"/>
        <tr r="X11" s="5"/>
      </tp>
      <tp>
        <v>32.29</v>
        <stp/>
        <stp>VIVT3_B_0</stp>
        <stp>ULT</stp>
        <tr r="K77" s="2"/>
        <tr r="F7" s="5"/>
        <tr r="AP9" s="2"/>
      </tp>
      <tp>
        <v>0</v>
        <stp/>
        <stp>GGBR4_B_0</stp>
        <stp>AJA</stp>
        <tr r="BI13" s="2"/>
        <tr r="Y11" s="5"/>
      </tp>
      <tp>
        <v>0</v>
        <stp/>
        <stp>EMBR3_B_0</stp>
        <stp>AJA</stp>
        <tr r="BI26" s="2"/>
        <tr r="Y24" s="5"/>
      </tp>
      <tp>
        <v>59.550000000000004</v>
        <stp/>
        <stp>VALE3_B_0</stp>
        <stp>OCP</stp>
        <tr r="BD12" s="2"/>
        <tr r="T10" s="5"/>
      </tp>
      <tp>
        <v>14.734876198544411</v>
        <stp/>
        <stp>IFIX_B_0</stp>
        <stp>ANO</stp>
        <tr r="AH46" s="5"/>
        <tr r="BR48" s="2"/>
      </tp>
      <tp t="s">
        <v>-</v>
        <stp/>
        <stp>ITUB4_B_0</stp>
        <stp>VEN</stp>
        <tr r="BU32" s="2"/>
        <tr r="AK30" s="5"/>
      </tp>
      <tp>
        <v>0</v>
        <stp/>
        <stp>B3SA3_B_0</stp>
        <stp>PEX</stp>
        <tr r="AU21" s="2"/>
        <tr r="K19" s="5"/>
      </tp>
      <tp>
        <v>0</v>
        <stp/>
        <stp>GFSA3_B_0</stp>
        <stp>PEX</stp>
        <tr r="AU22" s="2"/>
        <tr r="K20" s="5"/>
      </tp>
      <tp>
        <v>6.9620253164557058</v>
        <stp/>
        <stp>CSNA3_B_0</stp>
        <stp>MES</stp>
        <tr r="BN10" s="2"/>
        <tr r="AD8" s="5"/>
      </tp>
      <tp>
        <v>0</v>
        <stp/>
        <stp>HBSA3_B_0</stp>
        <stp>PEX</stp>
        <tr r="AU58" s="2"/>
        <tr r="K56" s="5"/>
      </tp>
      <tp>
        <v>0</v>
        <stp/>
        <stp>ITSA4_B_0</stp>
        <stp>PEX</stp>
        <tr r="AU31" s="2"/>
        <tr r="K29" s="5"/>
      </tp>
      <tp>
        <v>8.4037311937510619</v>
        <stp/>
        <stp>CSNA3_B_0</stp>
        <stp>MED</stp>
        <tr r="AX10" s="2"/>
        <tr r="N8" s="5"/>
      </tp>
      <tp t="s">
        <v>-</v>
        <stp/>
        <stp>BRFS3_B_0</stp>
        <stp>IMPVT</stp>
        <tr r="BZ33" s="2"/>
        <tr r="AP31" s="5"/>
      </tp>
      <tp t="s">
        <v>-</v>
        <stp/>
        <stp>ABEV3_B_0</stp>
        <stp>VINT</stp>
        <tr r="CJ20" s="2"/>
        <tr r="AZ18" s="5"/>
      </tp>
      <tp>
        <v>0</v>
        <stp/>
        <stp>SBSP3_B_0</stp>
        <stp>PRT</stp>
        <tr r="L70" s="2"/>
      </tp>
      <tp>
        <v>3571</v>
        <stp/>
        <stp>IFIX_B_0</stp>
        <stp>AJA</stp>
        <tr r="BI48" s="2"/>
        <tr r="Y46" s="5"/>
      </tp>
      <tp>
        <v>3575</v>
        <stp/>
        <stp>IFIX_B_0</stp>
        <stp>AJU</stp>
        <tr r="X46" s="5"/>
        <tr r="BH48" s="2"/>
      </tp>
      <tp>
        <v>0.42906945561813808</v>
        <stp/>
        <stp>ITUB4_B_0</stp>
        <stp>VAR</stp>
        <tr r="AV32" s="2"/>
        <tr r="L30" s="5"/>
      </tp>
      <tp>
        <v>8.8000000000000007</v>
        <stp/>
        <stp>MGLU3_B_0</stp>
        <stp>OVD</stp>
        <tr r="BE35" s="2"/>
        <tr r="U33" s="5"/>
      </tp>
      <tp t="s">
        <v>31/12/9999</v>
        <stp/>
        <stp>ITUB4_B_0</stp>
        <stp>VAL</stp>
        <tr r="BV32" s="2"/>
        <tr r="AL30" s="5"/>
      </tp>
      <tp>
        <v>6.46</v>
        <stp/>
        <stp>BEEF3_B_0</stp>
        <stp>FEC</stp>
        <tr r="J55" s="2"/>
        <tr r="J65" s="5"/>
        <tr r="AT67" s="2"/>
      </tp>
      <tp>
        <v>8.4700000000000006</v>
        <stp/>
        <stp>CSNA3_B_0</stp>
        <stp>MAX</stp>
        <tr r="AR10" s="2"/>
        <tr r="H8" s="5"/>
      </tp>
      <tp t="s">
        <v>-</v>
        <stp/>
        <stp>RAIZ4_B_0</stp>
        <stp>VEXT</stp>
        <tr r="CK77" s="2"/>
        <tr r="BA75" s="5"/>
      </tp>
      <tp>
        <v>8.66</v>
        <stp/>
        <stp>RANI3_B_0</stp>
        <stp>MIN</stp>
        <tr r="AS85" s="2"/>
        <tr r="I83" s="5"/>
        <tr r="AS92" s="2"/>
        <tr r="AS91" s="2"/>
        <tr r="AS90" s="2"/>
        <tr r="AS89" s="2"/>
        <tr r="AS88" s="2"/>
        <tr r="AS87" s="2"/>
        <tr r="AS86" s="2"/>
      </tp>
      <tp t="s">
        <v>Fechado</v>
        <stp/>
        <stp>BRFS3_B_0</stp>
        <stp>EST</stp>
        <tr r="AN31" s="5"/>
        <tr r="BX33" s="2"/>
      </tp>
      <tp>
        <v>826950</v>
        <stp/>
        <stp>DOLFUT_F_0</stp>
        <stp>CAB</stp>
        <tr r="AM13" s="5"/>
        <tr r="BW15" s="2"/>
      </tp>
      <tp>
        <v>0</v>
        <stp/>
        <stp>JBSS3_B_0</stp>
        <stp>PRT</stp>
        <tr r="BJ64" s="2"/>
        <tr r="Z62" s="5"/>
      </tp>
      <tp t="s">
        <v>-</v>
        <stp/>
        <stp>SMTO3_B_0</stp>
        <stp>BLACK</stp>
        <tr r="AO64" s="5"/>
        <tr r="BY66" s="2"/>
      </tp>
      <tp>
        <v>2.5500000000000003</v>
        <stp/>
        <stp>JALL3_B_0</stp>
        <stp>OCP</stp>
        <tr r="BD69" s="2"/>
        <tr r="T67" s="5"/>
      </tp>
      <tp t="s">
        <v>-</v>
        <stp/>
        <stp>SLCE3_B_0</stp>
        <stp>BLACK</stp>
        <tr r="BY79" s="2"/>
        <tr r="AO77" s="5"/>
      </tp>
      <tp>
        <v>210248</v>
        <stp/>
        <stp>INDFUT_F_0</stp>
        <stp>CAB</stp>
        <tr r="BW17" s="2"/>
        <tr r="AM15" s="5"/>
      </tp>
      <tp>
        <v>8.8400712174146729</v>
        <stp/>
        <stp>RANI3_B_0</stp>
        <stp>MED</stp>
        <tr r="AX85" s="2"/>
        <tr r="N83" s="5"/>
        <tr r="AX87" s="2"/>
        <tr r="AX92" s="2"/>
        <tr r="AX91" s="2"/>
        <tr r="AX90" s="2"/>
        <tr r="AX89" s="2"/>
        <tr r="AX88" s="2"/>
        <tr r="AX86" s="2"/>
      </tp>
      <tp>
        <v>6.2350119904076902</v>
        <stp/>
        <stp>RANI3_B_0</stp>
        <stp>MES</stp>
        <tr r="BN85" s="2"/>
        <tr r="AD83" s="5"/>
        <tr r="BN92" s="2"/>
        <tr r="BN91" s="2"/>
        <tr r="BN89" s="2"/>
        <tr r="BN88" s="2"/>
        <tr r="BN90" s="2"/>
        <tr r="BN87" s="2"/>
        <tr r="BN86" s="2"/>
      </tp>
      <tp>
        <v>100</v>
        <stp/>
        <stp>ITUB4_B_0</stp>
        <stp>VOV</stp>
        <tr r="BG32" s="2"/>
        <tr r="W30" s="5"/>
      </tp>
      <tp>
        <v>400</v>
        <stp/>
        <stp>ITUB4_B_0</stp>
        <stp>VOC</stp>
        <tr r="BF32" s="2"/>
        <tr r="V30" s="5"/>
      </tp>
      <tp>
        <v>772094642</v>
        <stp/>
        <stp>ITUB4_B_0</stp>
        <stp>VOL</stp>
        <tr r="BC32" s="2"/>
        <tr r="S30" s="5"/>
      </tp>
      <tp>
        <v>27.01</v>
        <stp/>
        <stp>VIVA3_B_0</stp>
        <stp>ULT</stp>
        <tr r="K85" s="2"/>
      </tp>
      <tp>
        <v>7577</v>
        <stp/>
        <stp>VAMO3_B_0</stp>
        <stp>NEG</stp>
        <tr r="AZ74" s="2"/>
        <tr r="P72" s="5"/>
      </tp>
      <tp>
        <v>3569.94</v>
        <stp/>
        <stp>IFIX_B_0</stp>
        <stp>ABE</stp>
        <tr r="G46" s="5"/>
        <tr r="AQ48" s="2"/>
      </tp>
      <tp t="s">
        <v>-</v>
        <stp/>
        <stp>ARZZ3_B_0</stp>
        <stp>VEGA</stp>
        <tr r="CE72" s="2"/>
        <tr r="AU70" s="5"/>
      </tp>
      <tp>
        <v>13.680000000000001</v>
        <stp/>
        <stp>TTEN3_B_0</stp>
        <stp>FEC</stp>
        <tr r="AT84" s="2"/>
        <tr r="J82" s="5"/>
      </tp>
      <tp>
        <v>14.14</v>
        <stp/>
        <stp>LREN3_B_0</stp>
        <stp>FEC</stp>
        <tr r="J51" s="2"/>
        <tr r="AT34" s="2"/>
        <tr r="J32" s="5"/>
      </tp>
      <tp t="s">
        <v>-</v>
        <stp/>
        <stp>ITUB4_B_0</stp>
        <stp>VIA</stp>
        <tr r="CF32" s="2"/>
        <tr r="AV30" s="5"/>
      </tp>
      <tp t="s">
        <v>-</v>
        <stp/>
        <stp>ITUB4_B_0</stp>
        <stp>VIB</stp>
        <tr r="CG32" s="2"/>
        <tr r="AW30" s="5"/>
      </tp>
      <tp>
        <v>8.93</v>
        <stp/>
        <stp>RANI3_B_0</stp>
        <stp>MAX</stp>
        <tr r="AR85" s="2"/>
        <tr r="H83" s="5"/>
        <tr r="AR92" s="2"/>
        <tr r="AR91" s="2"/>
        <tr r="AR90" s="2"/>
        <tr r="AR89" s="2"/>
        <tr r="AR88" s="2"/>
        <tr r="AR87" s="2"/>
        <tr r="AR86" s="2"/>
      </tp>
      <tp>
        <v>8.27</v>
        <stp/>
        <stp>CSNA3_B_0</stp>
        <stp>MIN</stp>
        <tr r="AS10" s="2"/>
        <tr r="I8" s="5"/>
      </tp>
      <tp>
        <v>6.24</v>
        <stp/>
        <stp>MRVE3_B_0</stp>
        <stp>ULT</stp>
        <tr r="K57" s="2"/>
        <tr r="F16" s="5"/>
        <tr r="AP18" s="2"/>
      </tp>
      <tp>
        <v>0</v>
        <stp/>
        <stp>RCSL3_B_0</stp>
        <stp>PEX</stp>
        <tr r="AU65" s="2"/>
        <tr r="K63" s="5"/>
      </tp>
      <tp>
        <v>0</v>
        <stp/>
        <stp>CIEL3_B_0</stp>
        <stp>FEC</stp>
        <tr r="AT8" s="2"/>
        <tr r="J6" s="5"/>
      </tp>
      <tp>
        <v>2116</v>
        <stp/>
        <stp>ARML3_B_0</stp>
        <stp>NEG</stp>
        <tr r="AZ80" s="2"/>
        <tr r="P78" s="5"/>
      </tp>
      <tp>
        <v>-0.97765363128490768</v>
        <stp/>
        <stp>KEPL3_B_0</stp>
        <stp>SEM</stp>
        <tr r="BM73" s="2"/>
        <tr r="AC71" s="5"/>
      </tp>
      <tp>
        <v>1989</v>
        <stp/>
        <stp>CAML3_B_0</stp>
        <stp>NEG</stp>
        <tr r="AZ83" s="2"/>
        <tr r="P81" s="5"/>
      </tp>
      <tp>
        <v>0</v>
        <stp/>
        <stp>WINJ24_F_0</stp>
        <stp>OCP</stp>
        <tr r="BD38" s="2"/>
        <tr r="T36" s="5"/>
      </tp>
      <tp>
        <v>0</v>
        <stp/>
        <stp>WDOJ24_F_0</stp>
        <stp>OCP</stp>
        <tr r="BD51" s="2"/>
        <tr r="T49" s="5"/>
      </tp>
      <tp>
        <v>0</v>
        <stp/>
        <stp>WDOH24_F_0</stp>
        <stp>MAX</stp>
        <tr r="AR52" s="2"/>
        <tr r="H50" s="5"/>
      </tp>
      <tp>
        <v>0</v>
        <stp/>
        <stp>WDOV24_F_0</stp>
        <stp>SEM</stp>
        <tr r="BM57" s="2"/>
        <tr r="AC55" s="5"/>
      </tp>
      <tp>
        <v>0</v>
        <stp/>
        <stp>WDOH24_F_0</stp>
        <stp>MED</stp>
        <tr r="AX52" s="2"/>
        <tr r="N50" s="5"/>
      </tp>
      <tp>
        <v>0</v>
        <stp/>
        <stp>WDOK24_F_0</stp>
        <stp>NEG</stp>
        <tr r="AZ39" s="2"/>
        <tr r="P37" s="5"/>
      </tp>
      <tp>
        <v>0</v>
        <stp/>
        <stp>WINV24_F_0</stp>
        <stp>SEM</stp>
        <tr r="BM44" s="2"/>
        <tr r="AC42" s="5"/>
      </tp>
      <tp>
        <v>0</v>
        <stp/>
        <stp>WDOU24_F_0</stp>
        <stp>PEX</stp>
        <tr r="AU55" s="2"/>
        <tr r="K53" s="5"/>
      </tp>
      <tp>
        <v>0</v>
        <stp/>
        <stp>WDOH24_F_0</stp>
        <stp>MES</stp>
        <tr r="BN52" s="2"/>
        <tr r="AD50" s="5"/>
      </tp>
      <tp>
        <v>0</v>
        <stp/>
        <stp>WDOH24_F_0</stp>
        <stp>MIN</stp>
        <tr r="AS52" s="2"/>
        <tr r="I50" s="5"/>
      </tp>
      <tp>
        <v>17.559999999999999</v>
        <stp/>
        <stp>KLBN11_B_0</stp>
        <stp>OVD</stp>
        <tr r="BE82" s="2"/>
        <tr r="U80" s="5"/>
      </tp>
      <tp t="s">
        <v>00:00:00</v>
        <stp/>
        <stp>WINM24_F_0</stp>
        <stp>HOR</stp>
        <tr r="E38" s="5"/>
        <tr r="AO40" s="2"/>
      </tp>
      <tp t="s">
        <v>00:00:00</v>
        <stp/>
        <stp>WDOM24_F_0</stp>
        <stp>HOR</stp>
        <tr r="E47" s="5"/>
        <tr r="AO49" s="2"/>
      </tp>
      <tp>
        <v>0</v>
        <stp/>
        <stp>WDOU24_F_0</stp>
        <stp>PRT</stp>
        <tr r="BJ55" s="2"/>
        <tr r="Z53" s="5"/>
      </tp>
      <tp t="s">
        <v>-</v>
        <stp/>
        <stp>B3SA3_B_0</stp>
        <stp>IMPVT</stp>
        <tr r="BZ21" s="2"/>
        <tr r="AP19" s="5"/>
      </tp>
      <tp t="s">
        <v>00:00:00</v>
        <stp/>
        <stp>INDM24_F_0</stp>
        <stp>HOR</stp>
        <tr r="E43" s="5"/>
        <tr r="AO45" s="2"/>
      </tp>
      <tp>
        <v>0</v>
        <stp/>
        <stp>WINJ24_F_0</stp>
        <stp>OVD</stp>
        <tr r="BE38" s="2"/>
        <tr r="U36" s="5"/>
      </tp>
      <tp>
        <v>0</v>
        <stp/>
        <stp>WDOJ24_F_0</stp>
        <stp>OVD</stp>
        <tr r="BE51" s="2"/>
        <tr r="U49" s="5"/>
      </tp>
      <tp>
        <v>17.45</v>
        <stp/>
        <stp>KLBN11_B_0</stp>
        <stp>OCP</stp>
        <tr r="BD82" s="2"/>
        <tr r="T80" s="5"/>
      </tp>
      <tp>
        <v>4.0000000000000924E-2</v>
        <stp/>
        <stp>SLCE3_B_0</stp>
        <stp>VARPTS</stp>
        <tr r="AW79" s="2"/>
        <tr r="M77" s="5"/>
      </tp>
      <tp>
        <v>5489.5</v>
        <stp/>
        <stp>WDOFUTV_F_0</stp>
        <stp>ULT</stp>
        <tr r="F45" s="5"/>
        <tr r="AP47" s="2"/>
      </tp>
      <tp t="s">
        <v>-</v>
        <stp/>
        <stp>MGLU3_B_0</stp>
        <stp>VIVH</stp>
        <tr r="CI35" s="2"/>
        <tr r="AY33" s="5"/>
      </tp>
      <tp>
        <v>6.31</v>
        <stp/>
        <stp>GMAT3_B_0</stp>
        <stp>ABE</stp>
        <tr r="G57" s="5"/>
        <tr r="AQ59" s="2"/>
      </tp>
      <tp>
        <v>17.95</v>
        <stp/>
        <stp>BRFS3_B_0</stp>
        <stp>FEC</stp>
        <tr r="AT33" s="2"/>
        <tr r="J31" s="5"/>
      </tp>
      <tp>
        <v>0</v>
        <stp/>
        <stp>JBSS3_B_0</stp>
        <stp>SEM</stp>
        <tr r="BM64" s="2"/>
        <tr r="AC62" s="5"/>
      </tp>
      <tp>
        <v>0</v>
        <stp/>
        <stp>HYPE3_B_0</stp>
        <stp>PRT</stp>
        <tr r="L43" s="2"/>
      </tp>
      <tp>
        <v>10.16</v>
        <stp/>
        <stp>GOAU4_B_0</stp>
        <stp>ABE</stp>
        <tr r="G17" s="5"/>
        <tr r="AQ19" s="2"/>
      </tp>
      <tp t="s">
        <v>-</v>
        <stp/>
        <stp>ABEV3_B_0</stp>
        <stp>IMPVT</stp>
        <tr r="BZ20" s="2"/>
        <tr r="AP18" s="5"/>
      </tp>
      <tp t="s">
        <v>31/12/9999</v>
        <stp/>
        <stp>VIVT3_B_0</stp>
        <stp>VAL</stp>
        <tr r="BV9" s="2"/>
        <tr r="AL7" s="5"/>
      </tp>
      <tp t="s">
        <v>Pré-Fechamento</v>
        <stp/>
        <stp>BEEF3_B_0</stp>
        <stp>EST</stp>
        <tr r="AN65" s="5"/>
        <tr r="BX67" s="2"/>
      </tp>
      <tp>
        <v>34563684</v>
        <stp/>
        <stp>MRVE3_B_0</stp>
        <stp>VPJ</stp>
        <tr r="BL18" s="2"/>
        <tr r="AB16" s="5"/>
      </tp>
      <tp>
        <v>6.1977068484648339E-2</v>
        <stp/>
        <stp>VIVT3_B_0</stp>
        <stp>VAR</stp>
        <tr r="AV9" s="2"/>
        <tr r="L7" s="5"/>
      </tp>
      <tp>
        <v>17.18</v>
        <stp/>
        <stp>BRAP4_B_0</stp>
        <stp>ABE</stp>
        <tr r="AQ30" s="2"/>
        <tr r="G28" s="5"/>
      </tp>
      <tp>
        <v>0</v>
        <stp/>
        <stp>UGPA3_B_0</stp>
        <stp>PRT</stp>
        <tr r="L80" s="2"/>
      </tp>
      <tp>
        <v>-1.6452074391988585</v>
        <stp/>
        <stp>TTEN3_B_0</stp>
        <stp>TRIM</stp>
        <tr r="BS84" s="2"/>
        <tr r="AI82" s="5"/>
      </tp>
      <tp>
        <v>3.83</v>
        <stp/>
        <stp>PCAR3_B_0</stp>
        <stp>ABE</stp>
        <tr r="G68" s="5"/>
        <tr r="AQ70" s="2"/>
      </tp>
      <tp t="s">
        <v>-</v>
        <stp/>
        <stp>VIVT3_B_0</stp>
        <stp>VEN</stp>
        <tr r="BU9" s="2"/>
        <tr r="AK7" s="5"/>
      </tp>
      <tp>
        <v>24.560000000000002</v>
        <stp/>
        <stp>SMFT3_B_0</stp>
        <stp>FEC</stp>
        <tr r="J74" s="2"/>
      </tp>
      <tp>
        <v>7.36</v>
        <stp/>
        <stp>ECOR3_B_0</stp>
        <stp>OCP</stp>
        <tr r="BD7" s="2"/>
        <tr r="T5" s="5"/>
      </tp>
      <tp>
        <v>13250</v>
        <stp/>
        <stp>RENT3_B_0</stp>
        <stp>NEG</stp>
        <tr r="AZ24" s="2"/>
        <tr r="P22" s="5"/>
      </tp>
      <tp>
        <v>0</v>
        <stp/>
        <stp>RAPT4_B_0</stp>
        <stp>PEX</stp>
        <tr r="AU76" s="2"/>
        <tr r="K74" s="5"/>
      </tp>
      <tp>
        <v>20.8</v>
        <stp/>
        <stp>BBAS3_B_0</stp>
        <stp>ABE</stp>
        <tr r="G12" s="5"/>
        <tr r="AQ14" s="2"/>
      </tp>
      <tp t="s">
        <v>-</v>
        <stp/>
        <stp>AGRO3_B_0</stp>
        <stp>IMPVT</stp>
        <tr r="BZ71" s="2"/>
        <tr r="AP69" s="5"/>
      </tp>
      <tp t="s">
        <v>-</v>
        <stp/>
        <stp>TUPY3_B_0</stp>
        <stp>VEGA</stp>
        <tr r="CE81" s="2"/>
        <tr r="AU79" s="5"/>
      </tp>
      <tp>
        <v>0</v>
        <stp/>
        <stp>KEPL3_B_0</stp>
        <stp>PRT</stp>
        <tr r="BJ73" s="2"/>
        <tr r="Z71" s="5"/>
      </tp>
      <tp>
        <v>0</v>
        <stp/>
        <stp>GMAT3_B_0</stp>
        <stp>AJU</stp>
        <tr r="BH59" s="2"/>
        <tr r="X57" s="5"/>
      </tp>
      <tp>
        <v>9.5900872520381188</v>
        <stp/>
        <stp>BRAP4_B_0</stp>
        <stp>ANO</stp>
        <tr r="BR30" s="2"/>
        <tr r="AH28" s="5"/>
      </tp>
      <tp>
        <v>0</v>
        <stp/>
        <stp>GMAT3_B_0</stp>
        <stp>AJA</stp>
        <tr r="BI59" s="2"/>
        <tr r="Y57" s="5"/>
      </tp>
      <tp t="s">
        <v>NONE</v>
        <stp/>
        <stp>CIEL3_B_0</stp>
        <stp>EST</stp>
        <tr r="BX8" s="2"/>
        <tr r="AN6" s="5"/>
      </tp>
      <tp>
        <v>0</v>
        <stp/>
        <stp>GOAU4_B_0</stp>
        <stp>AJU</stp>
        <tr r="BH19" s="2"/>
        <tr r="X17" s="5"/>
      </tp>
      <tp>
        <v>0</v>
        <stp/>
        <stp>GOAU4_B_0</stp>
        <stp>AJA</stp>
        <tr r="BI19" s="2"/>
        <tr r="Y17" s="5"/>
      </tp>
      <tp>
        <v>47.843137254901947</v>
        <stp/>
        <stp>PCAR3_B_0</stp>
        <stp>ANO</stp>
        <tr r="BR70" s="2"/>
        <tr r="AH68" s="5"/>
      </tp>
      <tp>
        <v>0</v>
        <stp/>
        <stp>TUPY3_B_0</stp>
        <stp>PEX</stp>
        <tr r="AU81" s="2"/>
        <tr r="K79" s="5"/>
      </tp>
      <tp t="s">
        <v>Pré-Fechamento</v>
        <stp/>
        <stp>LREN3_B_0</stp>
        <stp>EST</stp>
        <tr r="BX34" s="2"/>
        <tr r="AN32" s="5"/>
      </tp>
      <tp t="s">
        <v>-</v>
        <stp/>
        <stp>VIVT3_B_0</stp>
        <stp>VIA</stp>
        <tr r="CF9" s="2"/>
        <tr r="AV7" s="5"/>
      </tp>
      <tp t="s">
        <v>-</v>
        <stp/>
        <stp>VIVT3_B_0</stp>
        <stp>VIB</stp>
        <tr r="CG9" s="2"/>
        <tr r="AW7" s="5"/>
      </tp>
      <tp>
        <v>-11.207196077674402</v>
        <stp/>
        <stp>BBAS3_B_0</stp>
        <stp>ANO</stp>
        <tr r="BR14" s="2"/>
        <tr r="AH12" s="5"/>
      </tp>
      <tp>
        <v>11.520000000000001</v>
        <stp/>
        <stp>YDUQ3_B_0</stp>
        <stp>ULT</stp>
        <tr r="K87" s="2"/>
      </tp>
      <tp t="s">
        <v>Pré-Fechamento</v>
        <stp/>
        <stp>TTEN3_B_0</stp>
        <stp>EST</stp>
        <tr r="BX84" s="2"/>
        <tr r="AN82" s="5"/>
      </tp>
      <tp>
        <v>0</v>
        <stp/>
        <stp>BRAP4_B_0</stp>
        <stp>AJU</stp>
        <tr r="BH30" s="2"/>
        <tr r="X28" s="5"/>
      </tp>
      <tp>
        <v>-0.66490426980693884</v>
        <stp/>
        <stp>GMAT3_B_0</stp>
        <stp>ANO</stp>
        <tr r="BR59" s="2"/>
        <tr r="AH57" s="5"/>
      </tp>
      <tp>
        <v>0</v>
        <stp/>
        <stp>BRAP4_B_0</stp>
        <stp>AJA</stp>
        <tr r="BI30" s="2"/>
        <tr r="Y28" s="5"/>
      </tp>
      <tp>
        <v>105283768</v>
        <stp/>
        <stp>VIVT3_B_0</stp>
        <stp>VOL</stp>
        <tr r="BC9" s="2"/>
        <tr r="S7" s="5"/>
      </tp>
      <tp>
        <v>200</v>
        <stp/>
        <stp>VIVT3_B_0</stp>
        <stp>VOC</stp>
        <tr r="BF9" s="2"/>
        <tr r="V7" s="5"/>
      </tp>
      <tp t="s">
        <v>-</v>
        <stp/>
        <stp>GOAU4_B_0</stp>
        <stp>VIVH</stp>
        <tr r="CI19" s="2"/>
        <tr r="AY17" s="5"/>
      </tp>
      <tp>
        <v>2.3181454836131028</v>
        <stp/>
        <stp>GOAU4_B_0</stp>
        <stp>ANO</stp>
        <tr r="BR19" s="2"/>
        <tr r="AH17" s="5"/>
      </tp>
      <tp>
        <v>100</v>
        <stp/>
        <stp>VIVT3_B_0</stp>
        <stp>VOV</stp>
        <tr r="BG9" s="2"/>
        <tr r="W7" s="5"/>
      </tp>
      <tp>
        <v>0</v>
        <stp/>
        <stp>PCAR3_B_0</stp>
        <stp>AJA</stp>
        <tr r="BI70" s="2"/>
        <tr r="Y68" s="5"/>
      </tp>
      <tp>
        <v>0</v>
        <stp/>
        <stp>PCAR3_B_0</stp>
        <stp>AJU</stp>
        <tr r="BH70" s="2"/>
        <tr r="X68" s="5"/>
      </tp>
      <tp>
        <v>0</v>
        <stp/>
        <stp>BBAS3_B_0</stp>
        <stp>AJU</stp>
        <tr r="BH14" s="2"/>
        <tr r="X12" s="5"/>
      </tp>
      <tp>
        <v>0</v>
        <stp/>
        <stp>BBAS3_B_0</stp>
        <stp>AJA</stp>
        <tr r="BI14" s="2"/>
        <tr r="Y12" s="5"/>
      </tp>
      <tp>
        <v>2.89</v>
        <stp/>
        <stp>VAMO3_B_0</stp>
        <stp>MIN</stp>
        <tr r="AS74" s="2"/>
        <tr r="I72" s="5"/>
      </tp>
      <tp>
        <v>0</v>
        <stp/>
        <stp>RAPT4_B_0</stp>
        <stp>PRT</stp>
        <tr r="BJ76" s="2"/>
        <tr r="Z74" s="5"/>
      </tp>
      <tp>
        <v>-4.7001620745542958</v>
        <stp/>
        <stp>CSAN3_B_0</stp>
        <stp>TRIM</stp>
        <tr r="BS62" s="2"/>
        <tr r="AI60" s="5"/>
      </tp>
      <tp>
        <v>47.745927516100537</v>
        <stp/>
        <stp>ASAI3_B_0</stp>
        <stp>ANO</stp>
        <tr r="BR61" s="2"/>
        <tr r="AH59" s="5"/>
      </tp>
      <tp t="s">
        <v>-</v>
        <stp/>
        <stp>AGRO3_B_0</stp>
        <stp>RHO</stp>
        <tr r="CD71" s="2"/>
        <tr r="AT69" s="5"/>
      </tp>
      <tp>
        <v>0</v>
        <stp/>
        <stp>CRFB3_B_0</stp>
        <stp>FEC</stp>
        <tr r="J61" s="5"/>
        <tr r="AT63" s="2"/>
      </tp>
      <tp>
        <v>0.32154340836012174</v>
        <stp/>
        <stp>MRVE3_B_0</stp>
        <stp>VAR</stp>
        <tr r="AV18" s="2"/>
        <tr r="L16" s="5"/>
      </tp>
      <tp>
        <v>0</v>
        <stp/>
        <stp>HAPV3_B_0</stp>
        <stp>PRT</stp>
        <tr r="L42" s="2"/>
      </tp>
      <tp>
        <v>105283768</v>
        <stp/>
        <stp>VIVT3_B_0</stp>
        <stp>VPJ</stp>
        <tr r="BL9" s="2"/>
        <tr r="AB7" s="5"/>
      </tp>
      <tp>
        <v>0</v>
        <stp/>
        <stp>SLCE3_B_0</stp>
        <stp>CAB</stp>
        <tr r="BW79" s="2"/>
        <tr r="AM77" s="5"/>
      </tp>
      <tp>
        <v>0</v>
        <stp/>
        <stp>CSAN3_B_0</stp>
        <stp>AJU</stp>
        <tr r="X60" s="5"/>
        <tr r="BH62" s="2"/>
      </tp>
      <tp>
        <v>-3.0567685589519646</v>
        <stp/>
        <stp>GFSA3_B_0</stp>
        <stp>SEM</stp>
        <tr r="BM22" s="2"/>
        <tr r="AC20" s="5"/>
      </tp>
      <tp>
        <v>-0.39682539682540247</v>
        <stp/>
        <stp>B3SA3_B_0</stp>
        <stp>SEM</stp>
        <tr r="BM21" s="2"/>
        <tr r="AC19" s="5"/>
      </tp>
      <tp>
        <v>0.54794520547944037</v>
        <stp/>
        <stp>ITSA4_B_0</stp>
        <stp>SEM</stp>
        <tr r="BM31" s="2"/>
        <tr r="AC29" s="5"/>
      </tp>
      <tp>
        <v>0</v>
        <stp/>
        <stp>CSAN3_B_0</stp>
        <stp>AJA</stp>
        <tr r="BI62" s="2"/>
        <tr r="Y60" s="5"/>
      </tp>
      <tp t="s">
        <v>31/12/9999</v>
        <stp/>
        <stp>MRVE3_B_0</stp>
        <stp>VAL</stp>
        <tr r="BV18" s="2"/>
        <tr r="AL16" s="5"/>
      </tp>
      <tp>
        <v>7.6000000000000005</v>
        <stp/>
        <stp>ECOR3_B_0</stp>
        <stp>OVD</stp>
        <tr r="BE7" s="2"/>
        <tr r="U5" s="5"/>
      </tp>
      <tp>
        <v>2.4324324324324285</v>
        <stp/>
        <stp>HBSA3_B_0</stp>
        <stp>SEM</stp>
        <tr r="BM58" s="2"/>
        <tr r="AC56" s="5"/>
      </tp>
      <tp>
        <v>8940</v>
        <stp/>
        <stp>CSNA3_B_0</stp>
        <stp>NEG</stp>
        <tr r="AZ10" s="2"/>
        <tr r="P8" s="5"/>
      </tp>
      <tp t="s">
        <v>-</v>
        <stp/>
        <stp>ARZZ3_B_0</stp>
        <stp>IMPVT</stp>
        <tr r="BZ72" s="2"/>
        <tr r="AP70" s="5"/>
      </tp>
      <tp t="s">
        <v>-</v>
        <stp/>
        <stp>ARML3_B_0</stp>
        <stp>IMPVT</stp>
        <tr r="BZ80" s="2"/>
        <tr r="AP78" s="5"/>
      </tp>
      <tp t="s">
        <v>Pré-Fechamento</v>
        <stp/>
        <stp>ABEV3_B_0</stp>
        <stp>EST</stp>
        <tr r="BX20" s="2"/>
        <tr r="AN18" s="5"/>
      </tp>
      <tp>
        <v>3.01</v>
        <stp/>
        <stp>ARML3_B_0</stp>
        <stp>MIN</stp>
        <tr r="AS80" s="2"/>
        <tr r="I78" s="5"/>
      </tp>
      <tp>
        <v>4.91</v>
        <stp/>
        <stp>CAML3_B_0</stp>
        <stp>MIN</stp>
        <tr r="AS83" s="2"/>
        <tr r="I81" s="5"/>
      </tp>
      <tp t="s">
        <v>-</v>
        <stp/>
        <stp>ASAI3_B_0</stp>
        <stp>IMPVT</stp>
        <tr r="BZ61" s="2"/>
        <tr r="AP59" s="5"/>
      </tp>
      <tp t="s">
        <v>14/10/2025</v>
        <stp/>
        <stp>BBDC4_B_0</stp>
        <stp>DAT</stp>
        <tr r="D25" s="5"/>
        <tr r="AN27" s="2"/>
      </tp>
      <tp>
        <v>21.12</v>
        <stp/>
        <stp>MRFG3_B_0</stp>
        <stp>FEC</stp>
        <tr r="J66" s="5"/>
        <tr r="AT68" s="2"/>
      </tp>
      <tp t="s">
        <v>-</v>
        <stp/>
        <stp>GOAU4_B_0</stp>
        <stp>VINT</stp>
        <tr r="CJ19" s="2"/>
        <tr r="AZ17" s="5"/>
      </tp>
      <tp>
        <v>0</v>
        <stp/>
        <stp>ASAI3_B_0</stp>
        <stp>AJU</stp>
        <tr r="BH61" s="2"/>
        <tr r="X59" s="5"/>
      </tp>
      <tp>
        <v>0</v>
        <stp/>
        <stp>ASAI3_B_0</stp>
        <stp>AJA</stp>
        <tr r="BI61" s="2"/>
        <tr r="Y59" s="5"/>
      </tp>
      <tp>
        <v>-27.941176470588236</v>
        <stp/>
        <stp>CSAN3_B_0</stp>
        <stp>ANO</stp>
        <tr r="BR62" s="2"/>
        <tr r="AH60" s="5"/>
      </tp>
      <tp t="s">
        <v>-</v>
        <stp/>
        <stp>MRVE3_B_0</stp>
        <stp>VEN</stp>
        <tr r="BU18" s="2"/>
        <tr r="AK16" s="5"/>
      </tp>
      <tp>
        <v>38.36</v>
        <stp/>
        <stp>CPFE3_B_0</stp>
        <stp>FEC</stp>
        <tr r="J26" s="2"/>
      </tp>
      <tp t="s">
        <v>-</v>
        <stp/>
        <stp>PCAR3_B_0</stp>
        <stp>BLACK</stp>
        <tr r="BY70" s="2"/>
        <tr r="AO68" s="5"/>
      </tp>
      <tp t="s">
        <v>-</v>
        <stp/>
        <stp>TTEN3_B_0</stp>
        <stp>THETA</stp>
        <tr r="CC84" s="2"/>
        <tr r="AS82" s="5"/>
      </tp>
      <tp t="s">
        <v>-</v>
        <stp/>
        <stp>TUPY3_B_0</stp>
        <stp>VEXT</stp>
        <tr r="CK81" s="2"/>
        <tr r="BA79" s="5"/>
      </tp>
      <tp t="s">
        <v>-</v>
        <stp/>
        <stp>TUPY3_B_0</stp>
        <stp>THETA</stp>
        <tr r="CC81" s="2"/>
        <tr r="AS79" s="5"/>
      </tp>
      <tp>
        <v>37.450000000000003</v>
        <stp/>
        <stp>ITUB4_B_0</stp>
        <stp>ULT</stp>
        <tr r="K48" s="2"/>
        <tr r="F30" s="5"/>
        <tr r="AP32" s="2"/>
      </tp>
      <tp t="s">
        <v>-</v>
        <stp/>
        <stp>MGLU3_B_0</stp>
        <stp>VINT</stp>
        <tr r="CJ35" s="2"/>
        <tr r="AZ33" s="5"/>
      </tp>
      <tp>
        <v>2.98</v>
        <stp/>
        <stp>VAMO3_B_0</stp>
        <stp>MAX</stp>
        <tr r="AR74" s="2"/>
        <tr r="H72" s="5"/>
      </tp>
      <tp>
        <v>0</v>
        <stp/>
        <stp>DXCO3_B_0</stp>
        <stp>CAB</stp>
        <tr r="BW75" s="2"/>
        <tr r="AM73" s="5"/>
      </tp>
      <tp>
        <v>1952</v>
        <stp/>
        <stp>RANI3_B_0</stp>
        <stp>NEG</stp>
        <tr r="AZ85" s="2"/>
        <tr r="P83" s="5"/>
        <tr r="AZ92" s="2"/>
        <tr r="AZ91" s="2"/>
        <tr r="AZ90" s="2"/>
        <tr r="AZ87" s="2"/>
        <tr r="AZ89" s="2"/>
        <tr r="AZ88" s="2"/>
        <tr r="AZ86" s="2"/>
      </tp>
      <tp t="s">
        <v>-</v>
        <stp/>
        <stp>MRVE3_B_0</stp>
        <stp>VIB</stp>
        <tr r="CG18" s="2"/>
        <tr r="AW16" s="5"/>
      </tp>
      <tp t="s">
        <v>-</v>
        <stp/>
        <stp>MRVE3_B_0</stp>
        <stp>VIA</stp>
        <tr r="CF18" s="2"/>
        <tr r="AV16" s="5"/>
      </tp>
      <tp>
        <v>5.85</v>
        <stp/>
        <stp>CSAN3_B_0</stp>
        <stp>ABE</stp>
        <tr r="AQ62" s="2"/>
        <tr r="G60" s="5"/>
      </tp>
      <tp>
        <v>5.07</v>
        <stp/>
        <stp>CAML3_B_0</stp>
        <stp>MAX</stp>
        <tr r="AR83" s="2"/>
        <tr r="H81" s="5"/>
      </tp>
      <tp>
        <v>3.13</v>
        <stp/>
        <stp>ARML3_B_0</stp>
        <stp>MAX</stp>
        <tr r="AR80" s="2"/>
        <tr r="H78" s="5"/>
      </tp>
      <tp t="s">
        <v>-</v>
        <stp/>
        <stp>CYRE3_B_0</stp>
        <stp>RHO</stp>
        <tr r="CD28" s="2"/>
        <tr r="AT26" s="5"/>
      </tp>
      <tp>
        <v>7000</v>
        <stp/>
        <stp>MRVE3_B_0</stp>
        <stp>VOV</stp>
        <tr r="BG18" s="2"/>
        <tr r="W16" s="5"/>
      </tp>
      <tp>
        <v>2.9325371369756317</v>
        <stp/>
        <stp>VAMO3_B_0</stp>
        <stp>MED</stp>
        <tr r="AX74" s="2"/>
        <tr r="N72" s="5"/>
      </tp>
      <tp>
        <v>500</v>
        <stp/>
        <stp>MRVE3_B_0</stp>
        <stp>VOC</stp>
        <tr r="BF18" s="2"/>
        <tr r="V16" s="5"/>
      </tp>
      <tp>
        <v>34563684</v>
        <stp/>
        <stp>MRVE3_B_0</stp>
        <stp>VOL</stp>
        <tr r="BC18" s="2"/>
        <tr r="S16" s="5"/>
      </tp>
      <tp>
        <v>-15.942028985507239</v>
        <stp/>
        <stp>VAMO3_B_0</stp>
        <stp>MES</stp>
        <tr r="BN74" s="2"/>
        <tr r="AD72" s="5"/>
      </tp>
      <tp>
        <v>0</v>
        <stp/>
        <stp>TUPY3_B_0</stp>
        <stp>PRT</stp>
        <tr r="BJ81" s="2"/>
        <tr r="Z79" s="5"/>
      </tp>
      <tp>
        <v>8.01</v>
        <stp/>
        <stp>ASAI3_B_0</stp>
        <stp>ABE</stp>
        <tr r="AQ61" s="2"/>
        <tr r="G59" s="5"/>
      </tp>
      <tp>
        <v>141783.36000000002</v>
        <stp/>
        <stp>IBOV_B_0</stp>
        <stp>FEC</stp>
        <tr r="AT6" s="2"/>
        <tr r="J4" s="5"/>
      </tp>
      <tp>
        <v>-5.3536021150033077</v>
        <stp/>
        <stp>LREN3_B_0</stp>
        <stp>TRIM</stp>
        <tr r="BS34" s="2"/>
        <tr r="AI32" s="5"/>
      </tp>
      <tp>
        <v>-3.2894736842105288</v>
        <stp/>
        <stp>RCSL3_B_0</stp>
        <stp>SEM</stp>
        <tr r="AC63" s="5"/>
        <tr r="BM65" s="2"/>
      </tp>
      <tp>
        <v>0</v>
        <stp/>
        <stp>KEPL3_B_0</stp>
        <stp>PEX</stp>
        <tr r="AU73" s="2"/>
        <tr r="K71" s="5"/>
      </tp>
      <tp>
        <v>-18.327983098746127</v>
        <stp/>
        <stp>ARML3_B_0</stp>
        <stp>MES</stp>
        <tr r="BN80" s="2"/>
        <tr r="AD78" s="5"/>
      </tp>
      <tp>
        <v>-2.7722772277227659</v>
        <stp/>
        <stp>CAML3_B_0</stp>
        <stp>MES</stp>
        <tr r="BN83" s="2"/>
        <tr r="AD81" s="5"/>
      </tp>
      <tp>
        <v>4.9781669212609359</v>
        <stp/>
        <stp>CAML3_B_0</stp>
        <stp>MED</stp>
        <tr r="AX83" s="2"/>
        <tr r="N81" s="5"/>
      </tp>
      <tp>
        <v>3.0740149039090077</v>
        <stp/>
        <stp>ARML3_B_0</stp>
        <stp>MED</stp>
        <tr r="AX80" s="2"/>
        <tr r="N78" s="5"/>
      </tp>
      <tp>
        <v>0</v>
        <stp/>
        <stp>WING24_F_0</stp>
        <stp>ABE</stp>
        <tr r="G40" s="5"/>
        <tr r="AQ42" s="2"/>
      </tp>
      <tp>
        <v>0</v>
        <stp/>
        <stp>WDOG24_F_0</stp>
        <stp>ABE</stp>
        <tr r="G51" s="5"/>
        <tr r="AQ53" s="2"/>
      </tp>
      <tp>
        <v>0</v>
        <stp/>
        <stp>WDOK24_F_0</stp>
        <stp>MAX</stp>
        <tr r="AR39" s="2"/>
        <tr r="H37" s="5"/>
      </tp>
      <tp>
        <v>0</v>
        <stp/>
        <stp>WDOU24_F_0</stp>
        <stp>SEM</stp>
        <tr r="BM55" s="2"/>
        <tr r="AC53" s="5"/>
      </tp>
      <tp>
        <v>-3.1141430535168166</v>
        <stp/>
        <stp>IBOV_B_0</stp>
        <stp>TRIM</stp>
        <tr r="BS6" s="2"/>
        <tr r="AI4" s="5"/>
      </tp>
      <tp>
        <v>0</v>
        <stp/>
        <stp>WDOK24_F_0</stp>
        <stp>MED</stp>
        <tr r="AX39" s="2"/>
        <tr r="N37" s="5"/>
      </tp>
      <tp>
        <v>0</v>
        <stp/>
        <stp>WDOH24_F_0</stp>
        <stp>NEG</stp>
        <tr r="AZ52" s="2"/>
        <tr r="P50" s="5"/>
      </tp>
      <tp>
        <v>0</v>
        <stp/>
        <stp>WDOV24_F_0</stp>
        <stp>PEX</stp>
        <tr r="AU57" s="2"/>
        <tr r="K55" s="5"/>
      </tp>
      <tp>
        <v>0</v>
        <stp/>
        <stp>WINV24_F_0</stp>
        <stp>PEX</stp>
        <tr r="AU44" s="2"/>
        <tr r="K42" s="5"/>
      </tp>
      <tp>
        <v>0</v>
        <stp/>
        <stp>WDOK24_F_0</stp>
        <stp>MES</stp>
        <tr r="AD37" s="5"/>
        <tr r="BN39" s="2"/>
      </tp>
      <tp>
        <v>0</v>
        <stp/>
        <stp>WING24_F_0</stp>
        <stp>AJA</stp>
        <tr r="BI42" s="2"/>
        <tr r="Y40" s="5"/>
      </tp>
      <tp>
        <v>0</v>
        <stp/>
        <stp>WDOG24_F_0</stp>
        <stp>AJA</stp>
        <tr r="BI53" s="2"/>
        <tr r="Y51" s="5"/>
      </tp>
      <tp>
        <v>0</v>
        <stp/>
        <stp>WING24_F_0</stp>
        <stp>AJU</stp>
        <tr r="BH42" s="2"/>
        <tr r="X40" s="5"/>
      </tp>
      <tp>
        <v>0</v>
        <stp/>
        <stp>WDOG24_F_0</stp>
        <stp>AJU</stp>
        <tr r="BH53" s="2"/>
        <tr r="X51" s="5"/>
      </tp>
      <tp>
        <v>0</v>
        <stp/>
        <stp>WDOK24_F_0</stp>
        <stp>MIN</stp>
        <tr r="AS39" s="2"/>
        <tr r="I37" s="5"/>
      </tp>
      <tp>
        <v>0</v>
        <stp/>
        <stp>WDOG24_F_0</stp>
        <stp>ANO</stp>
        <tr r="BR53" s="2"/>
        <tr r="AH51" s="5"/>
      </tp>
      <tp>
        <v>0</v>
        <stp/>
        <stp>WING24_F_0</stp>
        <stp>ANO</stp>
        <tr r="BR42" s="2"/>
        <tr r="AH40" s="5"/>
      </tp>
      <tp t="s">
        <v>00:00:00</v>
        <stp/>
        <stp>WDON24_F_0</stp>
        <stp>HOR</stp>
        <tr r="E48" s="5"/>
        <tr r="AO50" s="2"/>
      </tp>
      <tp>
        <v>0</v>
        <stp/>
        <stp>WINV24_F_0</stp>
        <stp>PRT</stp>
        <tr r="BJ44" s="2"/>
        <tr r="Z42" s="5"/>
      </tp>
      <tp>
        <v>0</v>
        <stp/>
        <stp>WDOV24_F_0</stp>
        <stp>PRT</stp>
        <tr r="BJ57" s="2"/>
        <tr r="Z55" s="5"/>
      </tp>
      <tp t="s">
        <v>31/10/2025</v>
        <stp/>
        <stp>WDOFUTV_F_0</stp>
        <stp>VAL</stp>
        <tr r="AL45" s="5"/>
        <tr r="BV47" s="2"/>
      </tp>
      <tp>
        <v>-0.19998181983456051</v>
        <stp/>
        <stp>WDOFUTV_F_0</stp>
        <stp>VAR</stp>
        <tr r="L45" s="5"/>
        <tr r="AV47" s="2"/>
      </tp>
      <tp>
        <v>3.5300000000000331E-2</v>
        <stp/>
        <stp>DOLPT_E_0</stp>
        <stp>VARPTS</stp>
        <tr r="AW16" s="2"/>
        <tr r="M14" s="5"/>
      </tp>
      <tp t="s">
        <v>03/11/2025</v>
        <stp/>
        <stp>WDOFUTV_F_0</stp>
        <stp>VEN</stp>
        <tr r="AK45" s="5"/>
        <tr r="BU47" s="2"/>
      </tp>
      <tp t="s">
        <v>-</v>
        <stp/>
        <stp>CMIG4_B_0</stp>
        <stp>DOBRAR</stp>
        <tr r="CH23" s="2"/>
        <tr r="AX21" s="5"/>
      </tp>
      <tp>
        <v>-9.9999999999997868E-3</v>
        <stp/>
        <stp>GOAU4_B_0</stp>
        <stp>VARPTS</stp>
        <tr r="AW19" s="2"/>
        <tr r="M17" s="5"/>
      </tp>
      <tp t="s">
        <v>-</v>
        <stp/>
        <stp>WDOFUTV_F_0</stp>
        <stp>VIA</stp>
        <tr r="CF47" s="2"/>
        <tr r="AV45" s="5"/>
      </tp>
      <tp t="s">
        <v>-</v>
        <stp/>
        <stp>WDOFUTV_F_0</stp>
        <stp>VIB</stp>
        <tr r="AW45" s="5"/>
        <tr r="CG47" s="2"/>
      </tp>
      <tp>
        <v>458</v>
        <stp/>
        <stp>WDOFUTV_F_0</stp>
        <stp>VOC</stp>
        <tr r="V45" s="5"/>
        <tr r="BF47" s="2"/>
      </tp>
      <tp>
        <v>14085057055</v>
        <stp/>
        <stp>WDOFUTV_F_0</stp>
        <stp>VOL</stp>
        <tr r="S45" s="5"/>
        <tr r="BC47" s="2"/>
      </tp>
      <tp>
        <v>105</v>
        <stp/>
        <stp>WDOFUTV_F_0</stp>
        <stp>VOV</stp>
        <tr r="W45" s="5"/>
        <tr r="BG47" s="2"/>
      </tp>
      <tp t="s">
        <v>-</v>
        <stp/>
        <stp>EMBR3_B_0</stp>
        <stp>DOBRAR</stp>
        <tr r="CH26" s="2"/>
        <tr r="AX24" s="5"/>
      </tp>
      <tp t="s">
        <v>-</v>
        <stp/>
        <stp>GMAT3_B_0</stp>
        <stp>DOBRAR</stp>
        <tr r="CH59" s="2"/>
        <tr r="AX57" s="5"/>
      </tp>
      <tp>
        <v>360584383828.16949</v>
        <stp/>
        <stp>WDOFUTV_F_0</stp>
        <stp>VPJ</stp>
        <tr r="BL47" s="2"/>
        <tr r="AB45" s="5"/>
      </tp>
      <tp t="s">
        <v>-</v>
        <stp/>
        <stp>SMTO3_B_0</stp>
        <stp>DOBRAR</stp>
        <tr r="AX64" s="5"/>
        <tr r="CH66" s="2"/>
      </tp>
      <tp t="s">
        <v>-</v>
        <stp/>
        <stp>RAPT4_B_0</stp>
        <stp>VINT</stp>
        <tr r="CJ76" s="2"/>
        <tr r="AZ74" s="5"/>
      </tp>
      <tp t="s">
        <v>14/10/2025</v>
        <stp/>
        <stp>ABEV3_B_0</stp>
        <stp>DAT</stp>
        <tr r="D18" s="5"/>
        <tr r="AN20" s="2"/>
      </tp>
      <tp>
        <v>-11.002304147465429</v>
        <stp/>
        <stp>SMTO3_B_0</stp>
        <stp>TRIM</stp>
        <tr r="AI64" s="5"/>
        <tr r="BS66" s="2"/>
      </tp>
      <tp>
        <v>2656</v>
        <stp/>
        <stp>ECOR3_B_0</stp>
        <stp>NEG</stp>
        <tr r="AZ7" s="2"/>
        <tr r="P5" s="5"/>
      </tp>
      <tp>
        <v>35.6</v>
        <stp/>
        <stp>RENT3_B_0</stp>
        <stp>OCP</stp>
        <tr r="BD24" s="2"/>
        <tr r="T22" s="5"/>
      </tp>
      <tp>
        <v>8.4600000000000009</v>
        <stp/>
        <stp>CSNA3_B_0</stp>
        <stp>OVD</stp>
        <tr r="BE10" s="2"/>
        <tr r="U8" s="5"/>
      </tp>
      <tp>
        <v>8.8000000000000007</v>
        <stp/>
        <stp>MGLU3_B_0</stp>
        <stp>MAX</stp>
        <tr r="AR35" s="2"/>
        <tr r="H33" s="5"/>
      </tp>
      <tp t="s">
        <v>-</v>
        <stp/>
        <stp>VIVT3_B_0</stp>
        <stp>VINT</stp>
        <tr r="CJ9" s="2"/>
        <tr r="AZ7" s="5"/>
      </tp>
      <tp t="s">
        <v>17:07:42</v>
        <stp/>
        <stp>RAIZ4_B_0</stp>
        <stp>HOR</stp>
        <tr r="E75" s="5"/>
        <tr r="AO77" s="2"/>
      </tp>
      <tp t="s">
        <v>-</v>
        <stp/>
        <stp>RAPT4_B_0</stp>
        <stp>THETA</stp>
        <tr r="CC76" s="2"/>
        <tr r="AS74" s="5"/>
      </tp>
      <tp t="s">
        <v>-</v>
        <stp/>
        <stp>RAIZ4_B_0</stp>
        <stp>THETA</stp>
        <tr r="CC77" s="2"/>
        <tr r="AS75" s="5"/>
      </tp>
      <tp>
        <v>-15.942028985507239</v>
        <stp/>
        <stp>VAMO3_B_0</stp>
        <stp>TRIM</stp>
        <tr r="BS74" s="2"/>
        <tr r="AI72" s="5"/>
      </tp>
      <tp>
        <v>0</v>
        <stp/>
        <stp>GGBR4_B_0</stp>
        <stp>CAB</stp>
        <tr r="BW13" s="2"/>
        <tr r="AM11" s="5"/>
      </tp>
      <tp>
        <v>0</v>
        <stp/>
        <stp>EMBR3_B_0</stp>
        <stp>CAB</stp>
        <tr r="BW26" s="2"/>
        <tr r="AM24" s="5"/>
      </tp>
      <tp>
        <v>-8.5416666666666519</v>
        <stp/>
        <stp>MGLU3_B_0</stp>
        <stp>MES</stp>
        <tr r="BN35" s="2"/>
        <tr r="AD33" s="5"/>
      </tp>
      <tp t="s">
        <v>Pré-Fechamento</v>
        <stp/>
        <stp>BBDC4_B_0</stp>
        <stp>EST</stp>
        <tr r="BX27" s="2"/>
        <tr r="AN25" s="5"/>
      </tp>
      <tp>
        <v>8.6572823143179392</v>
        <stp/>
        <stp>MGLU3_B_0</stp>
        <stp>MED</stp>
        <tr r="AX35" s="2"/>
        <tr r="N33" s="5"/>
      </tp>
      <tp>
        <v>145145</v>
        <stp/>
        <stp>WINFUT_F_0</stp>
        <stp>ABE</stp>
        <tr r="G34" s="5"/>
        <tr r="AQ36" s="2"/>
      </tp>
      <tp>
        <v>5482.5</v>
        <stp/>
        <stp>WDOFUT_F_0</stp>
        <stp>ABE</stp>
        <tr r="AQ37" s="2"/>
        <tr r="G35" s="5"/>
      </tp>
      <tp t="s">
        <v>-</v>
        <stp/>
        <stp>RENT3_B_0</stp>
        <stp>VINT</stp>
        <tr r="CJ24" s="2"/>
        <tr r="AZ22" s="5"/>
      </tp>
      <tp t="s">
        <v>-</v>
        <stp/>
        <stp>GGBR4_B_0</stp>
        <stp>IMPVT</stp>
        <tr r="BZ13" s="2"/>
        <tr r="AP11" s="5"/>
      </tp>
      <tp>
        <v>30.020000000000003</v>
        <stp/>
        <stp>PETR4_B_0</stp>
        <stp>ULT</stp>
        <tr r="K62" s="2"/>
        <tr r="F9" s="5"/>
        <tr r="AP11" s="2"/>
      </tp>
      <tp>
        <v>32.190000000000005</v>
        <stp/>
        <stp>PETR3_B_0</stp>
        <stp>ULT</stp>
        <tr r="K61" s="2"/>
      </tp>
      <tp>
        <v>8.85</v>
        <stp/>
        <stp>RANI3_B_0</stp>
        <stp>OVD</stp>
        <tr r="BE85" s="2"/>
        <tr r="U83" s="5"/>
        <tr r="BE87" s="2"/>
        <tr r="BE92" s="2"/>
        <tr r="BE91" s="2"/>
        <tr r="BE90" s="2"/>
        <tr r="BE89" s="2"/>
        <tr r="BE88" s="2"/>
        <tr r="BE86" s="2"/>
      </tp>
      <tp>
        <v>42.63</v>
        <stp/>
        <stp>TOTS3_B_0</stp>
        <stp>ULT</stp>
        <tr r="K79" s="2"/>
      </tp>
      <tp t="s">
        <v>-</v>
        <stp/>
        <stp>GMAT3_B_0</stp>
        <stp>VIVH</stp>
        <tr r="CI59" s="2"/>
        <tr r="AY57" s="5"/>
      </tp>
      <tp>
        <v>8.4600000000000009</v>
        <stp/>
        <stp>MGLU3_B_0</stp>
        <stp>MIN</stp>
        <tr r="AS35" s="2"/>
        <tr r="I33" s="5"/>
      </tp>
      <tp>
        <v>-16.741660471532864</v>
        <stp/>
        <stp>WDOFUT_F_0</stp>
        <stp>ANO</stp>
        <tr r="BR37" s="2"/>
        <tr r="AH35" s="5"/>
      </tp>
      <tp>
        <v>7.6779649779855808</v>
        <stp/>
        <stp>WINFUT_F_0</stp>
        <stp>ANO</stp>
        <tr r="BR36" s="2"/>
        <tr r="AH34" s="5"/>
      </tp>
      <tp>
        <v>13.91</v>
        <stp/>
        <stp>MOTV3_B_0</stp>
        <stp>ULT</stp>
        <tr r="K56" s="2"/>
      </tp>
      <tp t="s">
        <v>-</v>
        <stp/>
        <stp>JBSS3_B_0</stp>
        <stp>RHO</stp>
        <tr r="CD64" s="2"/>
        <tr r="AT62" s="5"/>
      </tp>
      <tp>
        <v>681700</v>
        <stp/>
        <stp>KEPL3_B_0</stp>
        <stp>QTT</stp>
        <tr r="BB73" s="2"/>
        <tr r="R71" s="5"/>
      </tp>
      <tp>
        <v>0</v>
        <stp/>
        <stp>KEPL3_B_0</stp>
        <stp>QTE</stp>
        <tr r="BK73" s="2"/>
        <tr r="AA71" s="5"/>
      </tp>
      <tp>
        <v>141688</v>
        <stp/>
        <stp>WINFUT_F_0</stp>
        <stp>AJA</stp>
        <tr r="BI36" s="2"/>
        <tr r="Y34" s="5"/>
      </tp>
      <tp>
        <v>5489.0649999999996</v>
        <stp/>
        <stp>WDOFUT_F_0</stp>
        <stp>AJA</stp>
        <tr r="BI37" s="2"/>
        <tr r="Y35" s="5"/>
      </tp>
      <tp>
        <v>0</v>
        <stp/>
        <stp>WINFUT_F_0</stp>
        <stp>AJU</stp>
        <tr r="BH36" s="2"/>
        <tr r="X34" s="5"/>
      </tp>
      <tp>
        <v>0</v>
        <stp/>
        <stp>WDOFUT_F_0</stp>
        <stp>AJU</stp>
        <tr r="BH37" s="2"/>
        <tr r="X35" s="5"/>
      </tp>
      <tp>
        <v>8.24</v>
        <stp/>
        <stp>NATU3_B_0</stp>
        <stp>ULT</stp>
        <tr r="K59" s="2"/>
      </tp>
      <tp>
        <v>0</v>
        <stp/>
        <stp>KEPL3_B_0</stp>
        <stp>QUL</stp>
        <tr r="BA73" s="2"/>
        <tr r="Q71" s="5"/>
      </tp>
      <tp t="s">
        <v>-</v>
        <stp/>
        <stp>GOAU4_B_0</stp>
        <stp>IMPVT</stp>
        <tr r="BZ19" s="2"/>
        <tr r="AP17" s="5"/>
      </tp>
      <tp>
        <v>141688</v>
        <stp/>
        <stp>INDFUT_F_0</stp>
        <stp>AJA</stp>
        <tr r="BI17" s="2"/>
        <tr r="Y15" s="5"/>
      </tp>
      <tp>
        <v>0</v>
        <stp/>
        <stp>INDFUT_F_0</stp>
        <stp>AJU</stp>
        <tr r="BH17" s="2"/>
        <tr r="X15" s="5"/>
      </tp>
      <tp t="s">
        <v>14/10/2025</v>
        <stp/>
        <stp>BEEF3_B_0</stp>
        <stp>DAT</stp>
        <tr r="D65" s="5"/>
        <tr r="AN67" s="2"/>
      </tp>
      <tp t="s">
        <v>-</v>
        <stp/>
        <stp>RCSL3_B_0</stp>
        <stp>RHO</stp>
        <tr r="CD65" s="2"/>
        <tr r="AT63" s="5"/>
      </tp>
      <tp t="s">
        <v>-</v>
        <stp/>
        <stp>GMAT3_B_0</stp>
        <stp>VINT</stp>
        <tr r="CJ59" s="2"/>
        <tr r="AZ57" s="5"/>
      </tp>
      <tp>
        <v>60.13</v>
        <stp/>
        <stp>VALE3_B_0</stp>
        <stp>MAX</stp>
        <tr r="AR12" s="2"/>
        <tr r="H10" s="5"/>
      </tp>
      <tp>
        <v>-0.54320987654320707</v>
        <stp/>
        <stp>AGRO3_B_0</stp>
        <stp>TRIM</stp>
        <tr r="BS71" s="2"/>
        <tr r="AI69" s="5"/>
      </tp>
      <tp>
        <v>2.5499999999999998</v>
        <stp/>
        <stp>JALL3_B_0</stp>
        <stp>MIN</stp>
        <tr r="I67" s="5"/>
        <tr r="AS69" s="2"/>
      </tp>
      <tp>
        <v>5484</v>
        <stp/>
        <stp>DOLFUT_F_0</stp>
        <stp>ABE</stp>
        <tr r="AQ15" s="2"/>
        <tr r="G13" s="5"/>
      </tp>
      <tp>
        <v>8.42</v>
        <stp/>
        <stp>CSNA3_B_0</stp>
        <stp>OCP</stp>
        <tr r="BD10" s="2"/>
        <tr r="T8" s="5"/>
      </tp>
      <tp>
        <v>36.17</v>
        <stp/>
        <stp>RENT3_B_0</stp>
        <stp>OVD</stp>
        <tr r="BE24" s="2"/>
        <tr r="U22" s="5"/>
      </tp>
      <tp t="s">
        <v>17:07:00</v>
        <stp/>
        <stp>USIM5_B_0</stp>
        <stp>HOR</stp>
        <tr r="E27" s="5"/>
        <tr r="AO29" s="2"/>
      </tp>
      <tp>
        <v>7.7349351405768223</v>
        <stp/>
        <stp>INDFUT_F_0</stp>
        <stp>ANO</stp>
        <tr r="BR17" s="2"/>
        <tr r="AH15" s="5"/>
      </tp>
      <tp t="s">
        <v>17:07:54</v>
        <stp/>
        <stp>RAIL3_B_0</stp>
        <stp>HOR</stp>
        <tr r="E58" s="5"/>
        <tr r="AO60" s="2"/>
      </tp>
      <tp>
        <v>15.450000000000001</v>
        <stp/>
        <stp>SMTO3_B_0</stp>
        <stp>ULT</stp>
        <tr r="F64" s="5"/>
        <tr r="AP66" s="2"/>
      </tp>
      <tp>
        <v>-14.310344827586208</v>
        <stp/>
        <stp>DXCO3_B_0</stp>
        <stp>TRIM</stp>
        <tr r="BS75" s="2"/>
        <tr r="AI73" s="5"/>
      </tp>
      <tp>
        <v>59.846389933063378</v>
        <stp/>
        <stp>VALE3_B_0</stp>
        <stp>MED</stp>
        <tr r="AX12" s="2"/>
        <tr r="N10" s="5"/>
      </tp>
      <tp>
        <v>35.260000000000005</v>
        <stp/>
        <stp>EQTL3_B_0</stp>
        <stp>ULT</stp>
        <tr r="K38" s="2"/>
      </tp>
      <tp>
        <v>0</v>
        <stp/>
        <stp>RAPT4_B_0</stp>
        <stp>QTE</stp>
        <tr r="BK76" s="2"/>
        <tr r="AA74" s="5"/>
      </tp>
      <tp>
        <v>37.840000000000003</v>
        <stp/>
        <stp>WEGE3_B_0</stp>
        <stp>FEC</stp>
        <tr r="J86" s="2"/>
      </tp>
      <tp>
        <v>-0.68917987594763208</v>
        <stp/>
        <stp>CYRE3_B_0</stp>
        <stp>SEM</stp>
        <tr r="AC26" s="5"/>
        <tr r="BM28" s="2"/>
      </tp>
      <tp>
        <v>1688500</v>
        <stp/>
        <stp>RAPT4_B_0</stp>
        <stp>QTT</stp>
        <tr r="BB76" s="2"/>
        <tr r="R74" s="5"/>
      </tp>
      <tp>
        <v>3.7686696769711605</v>
        <stp/>
        <stp>VALE3_B_0</stp>
        <stp>MES</stp>
        <tr r="BN12" s="2"/>
        <tr r="AD10" s="5"/>
      </tp>
      <tp>
        <v>0</v>
        <stp/>
        <stp>RAPT4_B_0</stp>
        <stp>QUL</stp>
        <tr r="BA76" s="2"/>
        <tr r="Q74" s="5"/>
      </tp>
      <tp>
        <v>-16.787183013643297</v>
        <stp/>
        <stp>DOLFUT_F_0</stp>
        <stp>ANO</stp>
        <tr r="BR15" s="2"/>
        <tr r="AH13" s="5"/>
      </tp>
      <tp t="s">
        <v>17:53:28</v>
        <stp/>
        <stp>MDIA3_B_0</stp>
        <stp>HOR</stp>
        <tr r="E76" s="5"/>
        <tr r="AO78" s="2"/>
      </tp>
      <tp t="s">
        <v>-</v>
        <stp/>
        <stp>RAPT4_B_0</stp>
        <stp>VIVH</stp>
        <tr r="CI76" s="2"/>
        <tr r="AY74" s="5"/>
      </tp>
      <tp>
        <v>145070</v>
        <stp/>
        <stp>INDFUT_F_0</stp>
        <stp>ABE</stp>
        <tr r="G15" s="5"/>
        <tr r="AQ17" s="2"/>
      </tp>
      <tp t="s">
        <v>14/10/2025</v>
        <stp/>
        <stp>LREN3_B_0</stp>
        <stp>DAT</stp>
        <tr r="D32" s="5"/>
        <tr r="AN34" s="2"/>
      </tp>
      <tp t="s">
        <v>14/10/2025</v>
        <stp/>
        <stp>TTEN3_B_0</stp>
        <stp>DAT</stp>
        <tr r="D82" s="5"/>
        <tr r="AN84" s="2"/>
      </tp>
      <tp>
        <v>0</v>
        <stp/>
        <stp>TUPY3_B_0</stp>
        <stp>QUL</stp>
        <tr r="BA81" s="2"/>
        <tr r="Q79" s="5"/>
      </tp>
      <tp>
        <v>59.22</v>
        <stp/>
        <stp>VALE3_B_0</stp>
        <stp>MIN</stp>
        <tr r="AS12" s="2"/>
        <tr r="I10" s="5"/>
      </tp>
      <tp>
        <v>2.6</v>
        <stp/>
        <stp>JALL3_B_0</stp>
        <stp>MAX</stp>
        <tr r="AR69" s="2"/>
        <tr r="H67" s="5"/>
      </tp>
      <tp>
        <v>0</v>
        <stp/>
        <stp>TUPY3_B_0</stp>
        <stp>QTE</stp>
        <tr r="BK81" s="2"/>
        <tr r="AA79" s="5"/>
      </tp>
      <tp t="s">
        <v>30/12/1899</v>
        <stp/>
        <stp>CIEL3_B_0</stp>
        <stp>DAT</stp>
        <tr r="D6" s="5"/>
        <tr r="AN8" s="2"/>
      </tp>
      <tp t="s">
        <v>-</v>
        <stp/>
        <stp>VIVT3_B_0</stp>
        <stp>VIVH</stp>
        <tr r="CI9" s="2"/>
        <tr r="AY7" s="5"/>
      </tp>
      <tp>
        <v>424000</v>
        <stp/>
        <stp>TUPY3_B_0</stp>
        <stp>QTT</stp>
        <tr r="BB81" s="2"/>
        <tr r="R79" s="5"/>
      </tp>
      <tp>
        <v>5489.0649999999996</v>
        <stp/>
        <stp>DOLFUT_F_0</stp>
        <stp>AJA</stp>
        <tr r="Y13" s="5"/>
        <tr r="BI15" s="2"/>
      </tp>
      <tp>
        <v>0</v>
        <stp/>
        <stp>DOLFUT_F_0</stp>
        <stp>AJU</stp>
        <tr r="BH15" s="2"/>
        <tr r="X13" s="5"/>
      </tp>
      <tp>
        <v>-0.44488383588729541</v>
        <stp/>
        <stp>AGRO3_B_0</stp>
        <stp>SEM</stp>
        <tr r="BM71" s="2"/>
        <tr r="AC69" s="5"/>
      </tp>
      <tp>
        <v>8.8000000000000007</v>
        <stp/>
        <stp>RANI3_B_0</stp>
        <stp>OCP</stp>
        <tr r="BD85" s="2"/>
        <tr r="T83" s="5"/>
        <tr r="BD92" s="2"/>
        <tr r="BD87" s="2"/>
        <tr r="BD91" s="2"/>
        <tr r="BD90" s="2"/>
        <tr r="BD89" s="2"/>
        <tr r="BD88" s="2"/>
        <tr r="BD86" s="2"/>
      </tp>
      <tp>
        <v>3.02</v>
        <stp/>
        <stp>COGN3_B_0</stp>
        <stp>FEC</stp>
        <tr r="J23" s="2"/>
      </tp>
      <tp t="s">
        <v>17:43:56</v>
        <stp/>
        <stp>CMIG4_B_0</stp>
        <stp>HOR</stp>
        <tr r="E21" s="5"/>
        <tr r="AO23" s="2"/>
      </tp>
      <tp>
        <v>-5.4744525547445217</v>
        <stp/>
        <stp>JALL3_B_0</stp>
        <stp>MES</stp>
        <tr r="BN69" s="2"/>
        <tr r="AD67" s="5"/>
      </tp>
      <tp t="s">
        <v>-</v>
        <stp/>
        <stp>GFSA3_B_0</stp>
        <stp>RHO</stp>
        <tr r="CD22" s="2"/>
        <tr r="AT20" s="5"/>
      </tp>
      <tp>
        <v>2.5788352348102945</v>
        <stp/>
        <stp>JALL3_B_0</stp>
        <stp>MED</stp>
        <tr r="AX69" s="2"/>
        <tr r="N67" s="5"/>
      </tp>
      <tp t="s">
        <v>-</v>
        <stp/>
        <stp>B3SA3_B_0</stp>
        <stp>RHO</stp>
        <tr r="CD21" s="2"/>
        <tr r="AT19" s="5"/>
      </tp>
      <tp t="s">
        <v>-</v>
        <stp/>
        <stp>RENT3_B_0</stp>
        <stp>VIVH</stp>
        <tr r="CI24" s="2"/>
        <tr r="AY22" s="5"/>
      </tp>
      <tp t="s">
        <v>-</v>
        <stp/>
        <stp>ITSA4_B_0</stp>
        <stp>RHO</stp>
        <tr r="CD31" s="2"/>
        <tr r="AT29" s="5"/>
      </tp>
      <tp t="s">
        <v>-</v>
        <stp/>
        <stp>HBSA3_B_0</stp>
        <stp>RHO</stp>
        <tr r="CD58" s="2"/>
        <tr r="AT56" s="5"/>
      </tp>
      <tp>
        <v>0</v>
        <stp/>
        <stp>IFIX_B_0</stp>
        <stp>CAB</stp>
        <tr r="AM46" s="5"/>
        <tr r="BW48" s="2"/>
      </tp>
      <tp>
        <v>0</v>
        <stp/>
        <stp>WDOH24_F_0</stp>
        <stp>OCP</stp>
        <tr r="BD52" s="2"/>
        <tr r="T50" s="5"/>
      </tp>
      <tp t="s">
        <v>29/12/2024</v>
        <stp/>
        <stp>WDOQ24_F_0</stp>
        <stp>VAL</stp>
        <tr r="AL52" s="5"/>
        <tr r="BV54" s="2"/>
      </tp>
      <tp t="s">
        <v>29/12/2024</v>
        <stp/>
        <stp>WINQ24_F_0</stp>
        <stp>VAL</stp>
        <tr r="BV41" s="2"/>
        <tr r="AL39" s="5"/>
      </tp>
      <tp>
        <v>0</v>
        <stp/>
        <stp>WINQ24_F_0</stp>
        <stp>VAR</stp>
        <tr r="AV41" s="2"/>
        <tr r="L39" s="5"/>
      </tp>
      <tp>
        <v>0</v>
        <stp/>
        <stp>WDOJ24_F_0</stp>
        <stp>MAX</stp>
        <tr r="AR51" s="2"/>
        <tr r="H49" s="5"/>
      </tp>
      <tp>
        <v>0</v>
        <stp/>
        <stp>WINJ24_F_0</stp>
        <stp>MAX</stp>
        <tr r="AR38" s="2"/>
        <tr r="H36" s="5"/>
      </tp>
      <tp>
        <v>0</v>
        <stp/>
        <stp>WDOQ24_F_0</stp>
        <stp>VAR</stp>
        <tr r="AV54" s="2"/>
        <tr r="L52" s="5"/>
      </tp>
      <tp t="s">
        <v>29/12/2024</v>
        <stp/>
        <stp>WDOQ24_F_0</stp>
        <stp>VEN</stp>
        <tr r="BU54" s="2"/>
        <tr r="AK52" s="5"/>
      </tp>
      <tp>
        <v>0</v>
        <stp/>
        <stp>WINJ24_F_0</stp>
        <stp>MED</stp>
        <tr r="N36" s="5"/>
        <tr r="AX38" s="2"/>
      </tp>
      <tp>
        <v>0</v>
        <stp/>
        <stp>WDOJ24_F_0</stp>
        <stp>MED</stp>
        <tr r="AX51" s="2"/>
        <tr r="N49" s="5"/>
      </tp>
      <tp>
        <v>36.020000000000003</v>
        <stp/>
        <stp>TAEE11_B_0</stp>
        <stp>FEC</stp>
        <tr r="J76" s="2"/>
      </tp>
      <tp t="s">
        <v>29/12/2024</v>
        <stp/>
        <stp>WINQ24_F_0</stp>
        <stp>VEN</stp>
        <tr r="BU41" s="2"/>
        <tr r="AK39" s="5"/>
      </tp>
      <tp>
        <v>0</v>
        <stp/>
        <stp>WINJ24_F_0</stp>
        <stp>MES</stp>
        <tr r="BN38" s="2"/>
        <tr r="AD36" s="5"/>
      </tp>
      <tp>
        <v>0</v>
        <stp/>
        <stp>WDOJ24_F_0</stp>
        <stp>MES</stp>
        <tr r="BN51" s="2"/>
        <tr r="AD49" s="5"/>
      </tp>
      <tp t="s">
        <v>-</v>
        <stp/>
        <stp>WDOU24_F_0</stp>
        <stp>RHO</stp>
        <tr r="CD55" s="2"/>
        <tr r="AT53" s="5"/>
      </tp>
      <tp t="s">
        <v>-</v>
        <stp/>
        <stp>WINQ24_F_0</stp>
        <stp>VIA</stp>
        <tr r="CF41" s="2"/>
        <tr r="AV39" s="5"/>
      </tp>
      <tp>
        <v>0</v>
        <stp/>
        <stp>WDOJ24_F_0</stp>
        <stp>MIN</stp>
        <tr r="AS51" s="2"/>
        <tr r="I49" s="5"/>
      </tp>
      <tp t="s">
        <v>-</v>
        <stp/>
        <stp>WINQ24_F_0</stp>
        <stp>VIB</stp>
        <tr r="CG41" s="2"/>
        <tr r="AW39" s="5"/>
      </tp>
      <tp t="s">
        <v>-</v>
        <stp/>
        <stp>WDOQ24_F_0</stp>
        <stp>VIA</stp>
        <tr r="CF54" s="2"/>
        <tr r="AV52" s="5"/>
      </tp>
      <tp t="s">
        <v>-</v>
        <stp/>
        <stp>WDOQ24_F_0</stp>
        <stp>VIB</stp>
        <tr r="CG54" s="2"/>
        <tr r="AW52" s="5"/>
      </tp>
      <tp>
        <v>0</v>
        <stp/>
        <stp>WINJ24_F_0</stp>
        <stp>MIN</stp>
        <tr r="I36" s="5"/>
        <tr r="AS38" s="2"/>
      </tp>
      <tp>
        <v>0</v>
        <stp/>
        <stp>WDOQ24_F_0</stp>
        <stp>VOL</stp>
        <tr r="BC54" s="2"/>
        <tr r="S52" s="5"/>
      </tp>
      <tp>
        <v>0</v>
        <stp/>
        <stp>WINQ24_F_0</stp>
        <stp>VOC</stp>
        <tr r="BF41" s="2"/>
        <tr r="V39" s="5"/>
      </tp>
      <tp>
        <v>0</v>
        <stp/>
        <stp>WINQ24_F_0</stp>
        <stp>VOL</stp>
        <tr r="BC41" s="2"/>
        <tr r="S39" s="5"/>
      </tp>
      <tp>
        <v>0</v>
        <stp/>
        <stp>WDOQ24_F_0</stp>
        <stp>VOC</stp>
        <tr r="BF54" s="2"/>
        <tr r="V52" s="5"/>
      </tp>
      <tp>
        <v>0</v>
        <stp/>
        <stp>WINQ24_F_0</stp>
        <stp>VOV</stp>
        <tr r="BG41" s="2"/>
        <tr r="W39" s="5"/>
      </tp>
      <tp>
        <v>0</v>
        <stp/>
        <stp>WDOQ24_F_0</stp>
        <stp>VOV</stp>
        <tr r="BG54" s="2"/>
        <tr r="W52" s="5"/>
      </tp>
      <tp>
        <v>0</v>
        <stp/>
        <stp>WDOQ24_F_0</stp>
        <stp>VPJ</stp>
        <tr r="BL54" s="2"/>
        <tr r="AB52" s="5"/>
      </tp>
      <tp>
        <v>0</v>
        <stp/>
        <stp>WINQ24_F_0</stp>
        <stp>VPJ</stp>
        <tr r="BL41" s="2"/>
        <tr r="AB39" s="5"/>
      </tp>
      <tp>
        <v>0</v>
        <stp/>
        <stp>WDOH24_F_0</stp>
        <stp>OVD</stp>
        <tr r="BE52" s="2"/>
        <tr r="U50" s="5"/>
      </tp>
      <tp>
        <v>17.43</v>
        <stp/>
        <stp>KLBN11_B_0</stp>
        <stp>MIN</stp>
        <tr r="AS82" s="2"/>
        <tr r="I80" s="5"/>
      </tp>
      <tp>
        <v>0</v>
        <stp/>
        <stp>WINV24_F_0</stp>
        <stp>QTE</stp>
        <tr r="BK44" s="2"/>
        <tr r="AA42" s="5"/>
      </tp>
      <tp>
        <v>0</v>
        <stp/>
        <stp>WDOV24_F_0</stp>
        <stp>QTE</stp>
        <tr r="BK57" s="2"/>
        <tr r="AA55" s="5"/>
      </tp>
      <tp>
        <v>0</v>
        <stp/>
        <stp>WINV24_F_0</stp>
        <stp>QTT</stp>
        <tr r="BB44" s="2"/>
        <tr r="R42" s="5"/>
      </tp>
      <tp>
        <v>0</v>
        <stp/>
        <stp>WDOV24_F_0</stp>
        <stp>QTT</stp>
        <tr r="BB57" s="2"/>
        <tr r="R55" s="5"/>
      </tp>
      <tp>
        <v>0</v>
        <stp/>
        <stp>WDOV24_F_0</stp>
        <stp>QUL</stp>
        <tr r="BA57" s="2"/>
        <tr r="Q55" s="5"/>
      </tp>
      <tp>
        <v>0</v>
        <stp/>
        <stp>WINV24_F_0</stp>
        <stp>QUL</stp>
        <tr r="BA44" s="2"/>
        <tr r="Q42" s="5"/>
      </tp>
      <tp>
        <v>17.482559239407241</v>
        <stp/>
        <stp>KLBN11_B_0</stp>
        <stp>MED</stp>
        <tr r="AX82" s="2"/>
        <tr r="N80" s="5"/>
      </tp>
      <tp>
        <v>-3.2705099778270506</v>
        <stp/>
        <stp>KLBN11_B_0</stp>
        <stp>MES</stp>
        <tr r="BN82" s="2"/>
        <tr r="AD80" s="5"/>
      </tp>
      <tp>
        <v>17.600000000000001</v>
        <stp/>
        <stp>KLBN11_B_0</stp>
        <stp>MAX</stp>
        <tr r="AR82" s="2"/>
        <tr r="H80" s="5"/>
      </tp>
      <tp t="s">
        <v>-</v>
        <stp/>
        <stp>SLCE3_B_0</stp>
        <stp>DOBRAR</stp>
        <tr r="CH79" s="2"/>
        <tr r="AX77" s="5"/>
      </tp>
      <tp t="s">
        <v>-</v>
        <stp/>
        <stp>WDOFUT_F_0</stp>
        <stp>VINT</stp>
        <tr r="AZ35" s="5"/>
        <tr r="CJ37" s="2"/>
      </tp>
      <tp t="s">
        <v>-</v>
        <stp/>
        <stp>WINFUT_F_0</stp>
        <stp>VINT</stp>
        <tr r="CJ36" s="2"/>
        <tr r="AZ34" s="5"/>
      </tp>
      <tp t="s">
        <v>-</v>
        <stp/>
        <stp>WINFUT_F_0</stp>
        <stp>VIVH</stp>
        <tr r="CI36" s="2"/>
        <tr r="AY34" s="5"/>
      </tp>
      <tp t="s">
        <v>-</v>
        <stp/>
        <stp>WDOFUT_F_0</stp>
        <stp>VIVH</stp>
        <tr r="CI37" s="2"/>
        <tr r="AY35" s="5"/>
      </tp>
      <tp>
        <v>144915</v>
        <stp/>
        <stp>WINFUT_F_0</stp>
        <stp>FEC</stp>
        <tr r="AT36" s="2"/>
        <tr r="J34" s="5"/>
      </tp>
      <tp>
        <v>5500.5</v>
        <stp/>
        <stp>WDOFUT_F_0</stp>
        <stp>FEC</stp>
        <tr r="AT37" s="2"/>
        <tr r="J35" s="5"/>
      </tp>
      <tp>
        <v>5236328</v>
        <stp/>
        <stp>TUPY3_B_0</stp>
        <stp>VOL</stp>
        <tr r="BC81" s="2"/>
        <tr r="S79" s="5"/>
      </tp>
      <tp>
        <v>400</v>
        <stp/>
        <stp>TUPY3_B_0</stp>
        <stp>VOC</stp>
        <tr r="BF81" s="2"/>
        <tr r="V79" s="5"/>
      </tp>
      <tp>
        <v>500</v>
        <stp/>
        <stp>TUPY3_B_0</stp>
        <stp>VOV</stp>
        <tr r="BG81" s="2"/>
        <tr r="W79" s="5"/>
      </tp>
      <tp t="s">
        <v>Pré-Fechamento</v>
        <stp/>
        <stp>SLCE3_B_0</stp>
        <stp>EST</stp>
        <tr r="BX79" s="2"/>
        <tr r="AN77" s="5"/>
      </tp>
      <tp>
        <v>0</v>
        <stp/>
        <stp>MRVE3_B_0</stp>
        <stp>PRT</stp>
        <tr r="L57" s="2"/>
        <tr r="BJ18" s="2"/>
        <tr r="Z16" s="5"/>
      </tp>
      <tp>
        <v>28.36</v>
        <stp/>
        <stp>MDIA3_B_0</stp>
        <stp>OVD</stp>
        <tr r="BE78" s="2"/>
        <tr r="U76" s="5"/>
      </tp>
      <tp>
        <v>0</v>
        <stp/>
        <stp>ABEV3_B_0</stp>
        <stp>CAB</stp>
        <tr r="AM18" s="5"/>
        <tr r="BW20" s="2"/>
      </tp>
      <tp t="s">
        <v>-</v>
        <stp/>
        <stp>RCSL3_B_0</stp>
        <stp>THETA</stp>
        <tr r="CC65" s="2"/>
        <tr r="AS63" s="5"/>
      </tp>
      <tp t="s">
        <v>31/12/9999</v>
        <stp/>
        <stp>RAPT4_B_0</stp>
        <stp>VAL</stp>
        <tr r="BV76" s="2"/>
        <tr r="AL74" s="5"/>
      </tp>
      <tp>
        <v>0.95419847328243934</v>
        <stp/>
        <stp>RAPT4_B_0</stp>
        <stp>VAR</stp>
        <tr r="AV76" s="2"/>
        <tr r="L74" s="5"/>
      </tp>
      <tp>
        <v>3.377209477247098</v>
        <stp/>
        <stp>DOLPT_E_0</stp>
        <stp>MES</stp>
        <tr r="BN16" s="2"/>
        <tr r="AD14" s="5"/>
      </tp>
      <tp>
        <v>5.4976000000000003</v>
        <stp/>
        <stp>DOLPT_E_0</stp>
        <stp>MED</stp>
        <tr r="AX16" s="2"/>
        <tr r="N14" s="5"/>
      </tp>
      <tp t="s">
        <v>-</v>
        <stp/>
        <stp>RANI3_B_0</stp>
        <stp>THETA</stp>
        <tr r="CC85" s="2"/>
        <tr r="AS83" s="5"/>
        <tr r="CC92" s="2"/>
        <tr r="CC91" s="2"/>
        <tr r="CC89" s="2"/>
        <tr r="CC88" s="2"/>
        <tr r="CC90" s="2"/>
        <tr r="CC87" s="2"/>
        <tr r="CC86" s="2"/>
      </tp>
      <tp t="s">
        <v>-</v>
        <stp/>
        <stp>RAIL3_B_0</stp>
        <stp>THETA</stp>
        <tr r="CC60" s="2"/>
        <tr r="AS58" s="5"/>
      </tp>
      <tp t="s">
        <v>14/10/2025</v>
        <stp/>
        <stp>EMBR3_B_0</stp>
        <stp>DAT</stp>
        <tr r="D24" s="5"/>
        <tr r="AN26" s="2"/>
      </tp>
      <tp t="s">
        <v>14/10/2025</v>
        <stp/>
        <stp>GGBR4_B_0</stp>
        <stp>DAT</stp>
        <tr r="D11" s="5"/>
        <tr r="AN13" s="2"/>
      </tp>
      <tp>
        <v>0</v>
        <stp/>
        <stp>VIVA3_B_0</stp>
        <stp>PRT</stp>
        <tr r="L85" s="2"/>
      </tp>
      <tp t="s">
        <v>-</v>
        <stp/>
        <stp>TUPY3_B_0</stp>
        <stp>VIB</stp>
        <tr r="CG81" s="2"/>
        <tr r="AW79" s="5"/>
      </tp>
      <tp t="s">
        <v>-</v>
        <stp/>
        <stp>TUPY3_B_0</stp>
        <stp>VIA</stp>
        <tr r="CF81" s="2"/>
        <tr r="AV79" s="5"/>
      </tp>
      <tp t="s">
        <v>-</v>
        <stp/>
        <stp>GFSA3_B_0</stp>
        <stp>IMPVT</stp>
        <tr r="BZ22" s="2"/>
        <tr r="AP20" s="5"/>
      </tp>
      <tp t="s">
        <v>-</v>
        <stp/>
        <stp>RAPT4_B_0</stp>
        <stp>VEN</stp>
        <tr r="BU76" s="2"/>
        <tr r="AK74" s="5"/>
      </tp>
      <tp>
        <v>0</v>
        <stp/>
        <stp>VIVT3_B_0</stp>
        <stp>PEX</stp>
        <tr r="AU9" s="2"/>
        <tr r="K7" s="5"/>
      </tp>
      <tp>
        <v>10.82</v>
        <stp/>
        <stp>CMIG4_B_0</stp>
        <stp>OVD</stp>
        <tr r="BE23" s="2"/>
        <tr r="U21" s="5"/>
      </tp>
      <tp t="s">
        <v>-</v>
        <stp/>
        <stp>JBSS3_B_0</stp>
        <stp>VIVH</stp>
        <tr r="CI64" s="2"/>
        <tr r="AY62" s="5"/>
      </tp>
      <tp>
        <v>5.4976000000000003</v>
        <stp/>
        <stp>DOLPT_E_0</stp>
        <stp>MAX</stp>
        <tr r="AR16" s="2"/>
        <tr r="H14" s="5"/>
      </tp>
      <tp t="s">
        <v>-</v>
        <stp/>
        <stp>RENT3_B_0</stp>
        <stp>THETA</stp>
        <tr r="CC24" s="2"/>
        <tr r="AS22" s="5"/>
      </tp>
      <tp>
        <v>0</v>
        <stp/>
        <stp>JBSS3_B_0</stp>
        <stp>ULT</stp>
        <tr r="F62" s="5"/>
        <tr r="AP64" s="2"/>
      </tp>
      <tp t="s">
        <v>-</v>
        <stp/>
        <stp>TUPY3_B_0</stp>
        <stp>VEN</stp>
        <tr r="BU81" s="2"/>
        <tr r="AK79" s="5"/>
      </tp>
      <tp t="s">
        <v>Pré-Fechamento</v>
        <stp/>
        <stp>DXCO3_B_0</stp>
        <stp>EST</stp>
        <tr r="BX75" s="2"/>
        <tr r="AN73" s="5"/>
      </tp>
      <tp>
        <v>4843408</v>
        <stp/>
        <stp>KEPL3_B_0</stp>
        <stp>VPJ</stp>
        <tr r="BL73" s="2"/>
        <tr r="AB71" s="5"/>
      </tp>
      <tp>
        <v>124.83000000000001</v>
        <stp/>
        <stp>SBSP3_B_0</stp>
        <stp>ULT</stp>
        <tr r="K70" s="2"/>
      </tp>
      <tp t="s">
        <v>-</v>
        <stp/>
        <stp>RAPT4_B_0</stp>
        <stp>VIB</stp>
        <tr r="CG76" s="2"/>
        <tr r="AW74" s="5"/>
      </tp>
      <tp t="s">
        <v>-</v>
        <stp/>
        <stp>RAPT4_B_0</stp>
        <stp>VIA</stp>
        <tr r="CF76" s="2"/>
        <tr r="AV74" s="5"/>
      </tp>
      <tp t="s">
        <v>-</v>
        <stp/>
        <stp>PETR4_B_0</stp>
        <stp>RHO</stp>
        <tr r="CD11" s="2"/>
        <tr r="AT9" s="5"/>
      </tp>
      <tp>
        <v>15.47</v>
        <stp/>
        <stp>RAIL3_B_0</stp>
        <stp>OVD</stp>
        <tr r="BE60" s="2"/>
        <tr r="U58" s="5"/>
      </tp>
      <tp>
        <v>8881536</v>
        <stp/>
        <stp>RAPT4_B_0</stp>
        <stp>VOL</stp>
        <tr r="BC76" s="2"/>
        <tr r="S74" s="5"/>
      </tp>
      <tp>
        <v>4.67</v>
        <stp/>
        <stp>USIM5_B_0</stp>
        <stp>OVD</stp>
        <tr r="BE29" s="2"/>
        <tr r="U27" s="5"/>
      </tp>
      <tp>
        <v>200</v>
        <stp/>
        <stp>RAPT4_B_0</stp>
        <stp>VOC</stp>
        <tr r="BF76" s="2"/>
        <tr r="V74" s="5"/>
      </tp>
      <tp>
        <v>100</v>
        <stp/>
        <stp>RAPT4_B_0</stp>
        <stp>VOV</stp>
        <tr r="BG76" s="2"/>
        <tr r="W74" s="5"/>
      </tp>
      <tp t="s">
        <v>17:07:31</v>
        <stp/>
        <stp>RENT3_B_0</stp>
        <stp>HOR</stp>
        <tr r="E22" s="5"/>
        <tr r="AO24" s="2"/>
      </tp>
      <tp t="s">
        <v>-</v>
        <stp/>
        <stp>GMAT3_B_0</stp>
        <stp>IMPVT</stp>
        <tr r="BZ59" s="2"/>
        <tr r="AP57" s="5"/>
      </tp>
      <tp t="s">
        <v>31/12/9999</v>
        <stp/>
        <stp>TUPY3_B_0</stp>
        <stp>VAL</stp>
        <tr r="BV81" s="2"/>
        <tr r="AL79" s="5"/>
      </tp>
      <tp>
        <v>-0.88211708099438202</v>
        <stp/>
        <stp>TUPY3_B_0</stp>
        <stp>VAR</stp>
        <tr r="AV81" s="2"/>
        <tr r="L79" s="5"/>
      </tp>
      <tp t="s">
        <v>-</v>
        <stp/>
        <stp>BRFS3_B_0</stp>
        <stp>VIVH</stp>
        <tr r="CI33" s="2"/>
        <tr r="AY31" s="5"/>
      </tp>
      <tp t="s">
        <v>-</v>
        <stp/>
        <stp>BBAS3_B_0</stp>
        <stp>VIVH</stp>
        <tr r="CI14" s="2"/>
        <tr r="AY12" s="5"/>
      </tp>
      <tp>
        <v>0.87</v>
        <stp/>
        <stp>RAIZ4_B_0</stp>
        <stp>OCP</stp>
        <tr r="BD77" s="2"/>
        <tr r="T75" s="5"/>
      </tp>
      <tp>
        <v>5.4976000000000003</v>
        <stp/>
        <stp>DOLPT_E_0</stp>
        <stp>MIN</stp>
        <tr r="AS16" s="2"/>
        <tr r="I14" s="5"/>
      </tp>
      <tp>
        <v>0</v>
        <stp/>
        <stp>VIVT3_B_0</stp>
        <stp>PRT</stp>
        <tr r="L77" s="2"/>
        <tr r="BJ9" s="2"/>
        <tr r="Z7" s="5"/>
      </tp>
      <tp t="s">
        <v>17:56:44</v>
        <stp/>
        <stp>RANI3_B_0</stp>
        <stp>HOR</stp>
        <tr r="E83" s="5"/>
        <tr r="AO85" s="2"/>
        <tr r="AO92" s="2"/>
        <tr r="AO91" s="2"/>
        <tr r="AO90" s="2"/>
        <tr r="AO89" s="2"/>
        <tr r="AO88" s="2"/>
        <tr r="AO87" s="2"/>
        <tr r="AO86" s="2"/>
      </tp>
      <tp t="s">
        <v>-</v>
        <stp/>
        <stp>SMTO3_B_0</stp>
        <stp>RHO</stp>
        <tr r="AT64" s="5"/>
        <tr r="CD66" s="2"/>
      </tp>
      <tp>
        <v>0.83467959073775522</v>
        <stp/>
        <stp>ITUB4_B_0</stp>
        <stp>SEM</stp>
        <tr r="BM32" s="2"/>
        <tr r="AC30" s="5"/>
      </tp>
      <tp>
        <v>0</v>
        <stp/>
        <stp>BEEF3_B_0</stp>
        <stp>CAB</stp>
        <tr r="AM65" s="5"/>
        <tr r="BW67" s="2"/>
      </tp>
      <tp>
        <v>8881536</v>
        <stp/>
        <stp>RAPT4_B_0</stp>
        <stp>VPJ</stp>
        <tr r="BL76" s="2"/>
        <tr r="AB74" s="5"/>
      </tp>
      <tp>
        <v>10.72</v>
        <stp/>
        <stp>CMIG4_B_0</stp>
        <stp>OCP</stp>
        <tr r="BD23" s="2"/>
        <tr r="T21" s="5"/>
      </tp>
      <tp>
        <v>5497.5</v>
        <stp/>
        <stp>DOLFUT_F_0</stp>
        <stp>FEC</stp>
        <tr r="J13" s="5"/>
        <tr r="AT15" s="2"/>
      </tp>
      <tp t="s">
        <v>-</v>
        <stp/>
        <stp>KEPL3_B_0</stp>
        <stp>VIA</stp>
        <tr r="CF73" s="2"/>
        <tr r="AV71" s="5"/>
      </tp>
      <tp t="s">
        <v>-</v>
        <stp/>
        <stp>KEPL3_B_0</stp>
        <stp>VIB</stp>
        <tr r="CG73" s="2"/>
        <tr r="AW71" s="5"/>
      </tp>
      <tp>
        <v>27.78</v>
        <stp/>
        <stp>MDIA3_B_0</stp>
        <stp>OCP</stp>
        <tr r="BD78" s="2"/>
        <tr r="T76" s="5"/>
      </tp>
      <tp t="s">
        <v>-</v>
        <stp/>
        <stp>VAMO3_B_0</stp>
        <stp>BLACK</stp>
        <tr r="BY74" s="2"/>
        <tr r="AO72" s="5"/>
      </tp>
      <tp t="s">
        <v>-</v>
        <stp/>
        <stp>VALE3_B_0</stp>
        <stp>BLACK</stp>
        <tr r="BY12" s="2"/>
        <tr r="AO10" s="5"/>
      </tp>
      <tp>
        <v>100</v>
        <stp/>
        <stp>KEPL3_B_0</stp>
        <stp>VOV</stp>
        <tr r="BG73" s="2"/>
        <tr r="W71" s="5"/>
      </tp>
      <tp>
        <v>500</v>
        <stp/>
        <stp>KEPL3_B_0</stp>
        <stp>VOC</stp>
        <tr r="BF73" s="2"/>
        <tr r="V71" s="5"/>
      </tp>
      <tp>
        <v>4843408</v>
        <stp/>
        <stp>KEPL3_B_0</stp>
        <stp>VOL</stp>
        <tr r="BC73" s="2"/>
        <tr r="S71" s="5"/>
      </tp>
      <tp>
        <v>0</v>
        <stp/>
        <stp>MRVE3_B_0</stp>
        <stp>PEX</stp>
        <tr r="AU18" s="2"/>
        <tr r="K16" s="5"/>
      </tp>
      <tp>
        <v>1.47</v>
        <stp/>
        <stp>RCSL3_B_0</stp>
        <stp>ULT</stp>
        <tr r="F63" s="5"/>
        <tr r="AP65" s="2"/>
      </tp>
      <tp t="s">
        <v>-</v>
        <stp/>
        <stp>BBAS3_B_0</stp>
        <stp>VINT</stp>
        <tr r="CJ14" s="2"/>
        <tr r="AZ12" s="5"/>
      </tp>
      <tp t="s">
        <v>-</v>
        <stp/>
        <stp>BRFS3_B_0</stp>
        <stp>VINT</stp>
        <tr r="CJ33" s="2"/>
        <tr r="AZ31" s="5"/>
      </tp>
      <tp t="s">
        <v>17:07:59</v>
        <stp/>
        <stp>CSNA3_B_0</stp>
        <stp>HOR</stp>
        <tr r="AO10" s="2"/>
        <tr r="E8" s="5"/>
      </tp>
      <tp>
        <v>4.6100000000000003</v>
        <stp/>
        <stp>USIM5_B_0</stp>
        <stp>OCP</stp>
        <tr r="BD29" s="2"/>
        <tr r="T27" s="5"/>
      </tp>
      <tp>
        <v>0</v>
        <stp/>
        <stp>TTEN3_B_0</stp>
        <stp>CAB</stp>
        <tr r="BW84" s="2"/>
        <tr r="AM82" s="5"/>
      </tp>
      <tp>
        <v>0</v>
        <stp/>
        <stp>LREN3_B_0</stp>
        <stp>CAB</stp>
        <tr r="BW34" s="2"/>
        <tr r="AM32" s="5"/>
      </tp>
      <tp>
        <v>15.3</v>
        <stp/>
        <stp>RAIL3_B_0</stp>
        <stp>OCP</stp>
        <tr r="BD60" s="2"/>
        <tr r="T58" s="5"/>
      </tp>
      <tp>
        <v>0.88</v>
        <stp/>
        <stp>RAIZ4_B_0</stp>
        <stp>OVD</stp>
        <tr r="BE77" s="2"/>
        <tr r="U75" s="5"/>
      </tp>
      <tp>
        <v>11.01</v>
        <stp/>
        <stp>ITSA4_B_0</stp>
        <stp>ULT</stp>
        <tr r="K47" s="2"/>
        <tr r="F29" s="5"/>
        <tr r="AP31" s="2"/>
      </tp>
      <tp>
        <v>-0.28129395218002212</v>
        <stp/>
        <stp>KEPL3_B_0</stp>
        <stp>VAR</stp>
        <tr r="AV73" s="2"/>
        <tr r="L71" s="5"/>
      </tp>
      <tp>
        <v>3.79</v>
        <stp/>
        <stp>HBSA3_B_0</stp>
        <stp>ULT</stp>
        <tr r="F56" s="5"/>
        <tr r="AP58" s="2"/>
      </tp>
      <tp>
        <v>6.66</v>
        <stp/>
        <stp>GFSA3_B_0</stp>
        <stp>ULT</stp>
        <tr r="F20" s="5"/>
        <tr r="AP22" s="2"/>
      </tp>
      <tp>
        <v>12.55</v>
        <stp/>
        <stp>B3SA3_B_0</stp>
        <stp>ULT</stp>
        <tr r="K11" s="2"/>
        <tr r="F19" s="5"/>
        <tr r="AP21" s="2"/>
      </tp>
      <tp>
        <v>0</v>
        <stp/>
        <stp>CIEL3_B_0</stp>
        <stp>CAB</stp>
        <tr r="BW8" s="2"/>
        <tr r="AM6" s="5"/>
      </tp>
      <tp t="s">
        <v>31/12/9999</v>
        <stp/>
        <stp>KEPL3_B_0</stp>
        <stp>VAL</stp>
        <tr r="BV73" s="2"/>
        <tr r="AL71" s="5"/>
      </tp>
      <tp>
        <v>46.61</v>
        <stp/>
        <stp>PSSA3_B_0</stp>
        <stp>ULT</stp>
        <tr r="K65" s="2"/>
      </tp>
      <tp t="s">
        <v>-</v>
        <stp/>
        <stp>VIVT3_B_0</stp>
        <stp>BLACK</stp>
        <tr r="BY9" s="2"/>
        <tr r="AO7" s="5"/>
      </tp>
      <tp>
        <v>144865</v>
        <stp/>
        <stp>INDFUT_F_0</stp>
        <stp>FEC</stp>
        <tr r="AT17" s="2"/>
        <tr r="J15" s="5"/>
      </tp>
      <tp t="s">
        <v>-</v>
        <stp/>
        <stp>JBSS3_B_0</stp>
        <stp>VINT</stp>
        <tr r="CJ64" s="2"/>
        <tr r="AZ62" s="5"/>
      </tp>
      <tp>
        <v>5236328</v>
        <stp/>
        <stp>TUPY3_B_0</stp>
        <stp>VPJ</stp>
        <tr r="BL81" s="2"/>
        <tr r="AB79" s="5"/>
      </tp>
      <tp>
        <v>14.9</v>
        <stp/>
        <stp>CXSE3_B_0</stp>
        <stp>ULT</stp>
        <tr r="K20" s="2"/>
      </tp>
      <tp>
        <v>32.480000000000004</v>
        <stp/>
        <stp>BBSE3_B_0</stp>
        <stp>ULT</stp>
        <tr r="K12" s="2"/>
      </tp>
      <tp t="s">
        <v>-</v>
        <stp/>
        <stp>KEPL3_B_0</stp>
        <stp>VEN</stp>
        <tr r="BU73" s="2"/>
        <tr r="AK71" s="5"/>
      </tp>
      <tp t="s">
        <v>14/10/2025</v>
        <stp/>
        <stp>IFIX_B_0</stp>
        <stp>DAT</stp>
        <tr r="D46" s="5"/>
        <tr r="AN48" s="2"/>
      </tp>
      <tp>
        <v>27.740000000000002</v>
        <stp/>
        <stp>SANB11_B_0</stp>
        <stp>FEC</stp>
        <tr r="J71" s="2"/>
      </tp>
      <tp t="s">
        <v>30/09/2024</v>
        <stp/>
        <stp>WDOV24_F_0</stp>
        <stp>VAL</stp>
        <tr r="BV57" s="2"/>
        <tr r="AL55" s="5"/>
      </tp>
      <tp t="s">
        <v>16/10/2024</v>
        <stp/>
        <stp>WINV24_F_0</stp>
        <stp>VAL</stp>
        <tr r="BV44" s="2"/>
        <tr r="AL42" s="5"/>
      </tp>
      <tp>
        <v>0</v>
        <stp/>
        <stp>WINV24_F_0</stp>
        <stp>VAR</stp>
        <tr r="AV44" s="2"/>
        <tr r="L42" s="5"/>
      </tp>
      <tp>
        <v>0</v>
        <stp/>
        <stp>WDOM24_F_0</stp>
        <stp>MAX</stp>
        <tr r="H47" s="5"/>
        <tr r="AR49" s="2"/>
      </tp>
      <tp>
        <v>0</v>
        <stp/>
        <stp>WINM24_F_0</stp>
        <stp>MAX</stp>
        <tr r="AR40" s="2"/>
        <tr r="H38" s="5"/>
      </tp>
      <tp>
        <v>0</v>
        <stp/>
        <stp>WDOV24_F_0</stp>
        <stp>VAR</stp>
        <tr r="AV57" s="2"/>
        <tr r="L55" s="5"/>
      </tp>
      <tp t="s">
        <v>01/10/2024</v>
        <stp/>
        <stp>WDOV24_F_0</stp>
        <stp>VEN</stp>
        <tr r="BU57" s="2"/>
        <tr r="AK55" s="5"/>
      </tp>
      <tp>
        <v>0</v>
        <stp/>
        <stp>WINM24_F_0</stp>
        <stp>MED</stp>
        <tr r="AX40" s="2"/>
        <tr r="N38" s="5"/>
      </tp>
      <tp>
        <v>0</v>
        <stp/>
        <stp>WDOM24_F_0</stp>
        <stp>MED</stp>
        <tr r="AX49" s="2"/>
        <tr r="N47" s="5"/>
      </tp>
      <tp>
        <v>0</v>
        <stp/>
        <stp>WDON24_F_0</stp>
        <stp>NEG</stp>
        <tr r="AZ50" s="2"/>
        <tr r="P48" s="5"/>
      </tp>
      <tp t="s">
        <v>16/10/2024</v>
        <stp/>
        <stp>WINV24_F_0</stp>
        <stp>VEN</stp>
        <tr r="BU44" s="2"/>
        <tr r="AK42" s="5"/>
      </tp>
      <tp>
        <v>0</v>
        <stp/>
        <stp>WINM24_F_0</stp>
        <stp>MES</stp>
        <tr r="BN40" s="2"/>
        <tr r="AD38" s="5"/>
      </tp>
      <tp>
        <v>0</v>
        <stp/>
        <stp>WDOM24_F_0</stp>
        <stp>MES</stp>
        <tr r="BN49" s="2"/>
        <tr r="AD47" s="5"/>
      </tp>
      <tp>
        <v>-0.38947579566729124</v>
        <stp/>
        <stp>IFIX_B_0</stp>
        <stp>TRIM</stp>
        <tr r="AI46" s="5"/>
        <tr r="BS48" s="2"/>
      </tp>
      <tp t="s">
        <v>-</v>
        <stp/>
        <stp>WINV24_F_0</stp>
        <stp>VIA</stp>
        <tr r="CF44" s="2"/>
        <tr r="AV42" s="5"/>
      </tp>
      <tp>
        <v>0</v>
        <stp/>
        <stp>WDOM24_F_0</stp>
        <stp>MIN</stp>
        <tr r="I47" s="5"/>
        <tr r="AS49" s="2"/>
      </tp>
      <tp t="s">
        <v>-</v>
        <stp/>
        <stp>WINV24_F_0</stp>
        <stp>VIB</stp>
        <tr r="AW42" s="5"/>
        <tr r="CG44" s="2"/>
      </tp>
      <tp t="s">
        <v>-</v>
        <stp/>
        <stp>WDOV24_F_0</stp>
        <stp>VIA</stp>
        <tr r="CF57" s="2"/>
        <tr r="AV55" s="5"/>
      </tp>
      <tp t="s">
        <v>-</v>
        <stp/>
        <stp>WDOV24_F_0</stp>
        <stp>VIB</stp>
        <tr r="CG57" s="2"/>
        <tr r="AW55" s="5"/>
      </tp>
      <tp>
        <v>0</v>
        <stp/>
        <stp>WINM24_F_0</stp>
        <stp>MIN</stp>
        <tr r="I38" s="5"/>
        <tr r="AS40" s="2"/>
      </tp>
      <tp>
        <v>0</v>
        <stp/>
        <stp>WDOV24_F_0</stp>
        <stp>VOL</stp>
        <tr r="BC57" s="2"/>
        <tr r="S55" s="5"/>
      </tp>
      <tp>
        <v>0</v>
        <stp/>
        <stp>WINV24_F_0</stp>
        <stp>VOC</stp>
        <tr r="BF44" s="2"/>
        <tr r="V42" s="5"/>
      </tp>
      <tp>
        <v>0</v>
        <stp/>
        <stp>WINV24_F_0</stp>
        <stp>VOL</stp>
        <tr r="BC44" s="2"/>
        <tr r="S42" s="5"/>
      </tp>
      <tp>
        <v>0</v>
        <stp/>
        <stp>WDOV24_F_0</stp>
        <stp>VOC</stp>
        <tr r="BF57" s="2"/>
        <tr r="V55" s="5"/>
      </tp>
      <tp>
        <v>0</v>
        <stp/>
        <stp>WINV24_F_0</stp>
        <stp>VOV</stp>
        <tr r="BG44" s="2"/>
        <tr r="W42" s="5"/>
      </tp>
      <tp>
        <v>0</v>
        <stp/>
        <stp>WDOV24_F_0</stp>
        <stp>VOV</stp>
        <tr r="BG57" s="2"/>
        <tr r="W55" s="5"/>
      </tp>
      <tp t="s">
        <v>00:00:00</v>
        <stp/>
        <stp>WDOH24_F_0</stp>
        <stp>HOR</stp>
        <tr r="E50" s="5"/>
        <tr r="AO52" s="2"/>
      </tp>
      <tp>
        <v>0</v>
        <stp/>
        <stp>WDOU24_F_0</stp>
        <stp>ULT</stp>
        <tr r="AP55" s="2"/>
        <tr r="F53" s="5"/>
      </tp>
      <tp>
        <v>0</v>
        <stp/>
        <stp>WDOV24_F_0</stp>
        <stp>VPJ</stp>
        <tr r="BL57" s="2"/>
        <tr r="AB55" s="5"/>
      </tp>
      <tp>
        <v>0</v>
        <stp/>
        <stp>WINV24_F_0</stp>
        <stp>VPJ</stp>
        <tr r="BL44" s="2"/>
        <tr r="AB42" s="5"/>
      </tp>
      <tp>
        <v>0</v>
        <stp/>
        <stp>INDM24_F_0</stp>
        <stp>MIN</stp>
        <tr r="I43" s="5"/>
        <tr r="AS45" s="2"/>
      </tp>
      <tp>
        <v>0</v>
        <stp/>
        <stp>WINQ24_F_0</stp>
        <stp>QTE</stp>
        <tr r="BK41" s="2"/>
        <tr r="AA39" s="5"/>
      </tp>
      <tp>
        <v>0</v>
        <stp/>
        <stp>WDOQ24_F_0</stp>
        <stp>QTE</stp>
        <tr r="BK54" s="2"/>
        <tr r="AA52" s="5"/>
      </tp>
      <tp>
        <v>0</v>
        <stp/>
        <stp>WINQ24_F_0</stp>
        <stp>QTT</stp>
        <tr r="BB41" s="2"/>
        <tr r="R39" s="5"/>
      </tp>
      <tp>
        <v>0</v>
        <stp/>
        <stp>WDOQ24_F_0</stp>
        <stp>QTT</stp>
        <tr r="BB54" s="2"/>
        <tr r="R52" s="5"/>
      </tp>
      <tp>
        <v>0</v>
        <stp/>
        <stp>WDOQ24_F_0</stp>
        <stp>QUL</stp>
        <tr r="BA54" s="2"/>
        <tr r="Q52" s="5"/>
      </tp>
      <tp>
        <v>0</v>
        <stp/>
        <stp>WINQ24_F_0</stp>
        <stp>QUL</stp>
        <tr r="BA41" s="2"/>
        <tr r="Q39" s="5"/>
      </tp>
      <tp>
        <v>0</v>
        <stp/>
        <stp>INDM24_F_0</stp>
        <stp>MED</stp>
        <tr r="N43" s="5"/>
        <tr r="AX45" s="2"/>
      </tp>
      <tp>
        <v>0</v>
        <stp/>
        <stp>INDM24_F_0</stp>
        <stp>MES</stp>
        <tr r="AD43" s="5"/>
        <tr r="BN45" s="2"/>
      </tp>
      <tp>
        <v>10.96516826124823</v>
        <stp/>
        <stp>IBOV_B_0</stp>
        <stp>6M</stp>
        <tr r="BP6" s="2"/>
        <tr r="AF4" s="5"/>
      </tp>
      <tp>
        <v>2.6295621223646157</v>
        <stp/>
        <stp>IFIX_B_0</stp>
        <stp>3M</stp>
        <tr r="AE46" s="5"/>
        <tr r="BO48" s="2"/>
      </tp>
      <tp>
        <v>0</v>
        <stp/>
        <stp>INDM24_F_0</stp>
        <stp>MAX</stp>
        <tr r="H43" s="5"/>
        <tr r="AR45" s="2"/>
      </tp>
      <tp>
        <v>9.7551317352586349</v>
        <stp/>
        <stp>IFIX_B_0</stp>
        <stp>6M</stp>
        <tr r="BP48" s="2"/>
        <tr r="AF46" s="5"/>
      </tp>
      <tp>
        <v>4.7184387703115886</v>
        <stp/>
        <stp>IBOV_B_0</stp>
        <stp>3M</stp>
        <tr r="BO6" s="2"/>
        <tr r="AE4" s="5"/>
      </tp>
      <tp t="s">
        <v>-</v>
        <stp/>
        <stp>WDOH24_F_0</stp>
        <stp>DOBRAR</stp>
        <tr r="CH52" s="2"/>
        <tr r="AX50" s="5"/>
      </tp>
      <tp t="s">
        <v>-</v>
        <stp/>
        <stp>WDOK24_F_0</stp>
        <stp>DOBRAR</stp>
        <tr r="CH39" s="2"/>
        <tr r="AX37" s="5"/>
      </tp>
      <tp t="s">
        <v>-</v>
        <stp/>
        <stp>WDOJ24_F_0</stp>
        <stp>DOBRAR</stp>
        <tr r="CH51" s="2"/>
        <tr r="AX49" s="5"/>
      </tp>
      <tp t="s">
        <v>-</v>
        <stp/>
        <stp>WDOM24_F_0</stp>
        <stp>DOBRAR</stp>
        <tr r="CH49" s="2"/>
        <tr r="AX47" s="5"/>
      </tp>
      <tp>
        <v>0</v>
        <stp/>
        <stp>WDOFUTV_F_0</stp>
        <stp>PEX</stp>
        <tr r="K45" s="5"/>
        <tr r="AU47" s="2"/>
      </tp>
      <tp t="s">
        <v>-</v>
        <stp/>
        <stp>WDON24_F_0</stp>
        <stp>DOBRAR</stp>
        <tr r="CH50" s="2"/>
        <tr r="AX48" s="5"/>
      </tp>
      <tp>
        <v>0</v>
        <stp/>
        <stp>CIEL3_B_0</stp>
        <stp>VARPTS</stp>
        <tr r="AW8" s="2"/>
        <tr r="M6" s="5"/>
      </tp>
      <tp t="s">
        <v>-</v>
        <stp/>
        <stp>WDOG24_F_0</stp>
        <stp>DOBRAR</stp>
        <tr r="CH53" s="2"/>
        <tr r="AX51" s="5"/>
      </tp>
      <tp t="s">
        <v>-</v>
        <stp/>
        <stp>WDOFUT_F_0</stp>
        <stp>DOBRAR</stp>
        <tr r="CH37" s="2"/>
        <tr r="AX35" s="5"/>
      </tp>
      <tp>
        <v>0</v>
        <stp/>
        <stp>WDOFUTV_F_0</stp>
        <stp>PRT</stp>
        <tr r="BJ47" s="2"/>
        <tr r="Z45" s="5"/>
      </tp>
      <tp t="s">
        <v>-</v>
        <stp/>
        <stp>WDOX24_F_0</stp>
        <stp>DOBRAR</stp>
        <tr r="CH56" s="2"/>
        <tr r="AX54" s="5"/>
      </tp>
      <tp t="s">
        <v>-</v>
        <stp/>
        <stp>WDOQ24_F_0</stp>
        <stp>DOBRAR</stp>
        <tr r="CH54" s="2"/>
        <tr r="AX52" s="5"/>
      </tp>
      <tp t="s">
        <v>-</v>
        <stp/>
        <stp>WDOU24_F_0</stp>
        <stp>DOBRAR</stp>
        <tr r="CH55" s="2"/>
        <tr r="AX53" s="5"/>
      </tp>
      <tp>
        <v>1.9999999999996021E-2</v>
        <stp/>
        <stp>VIVT3_B_0</stp>
        <stp>VARPTS</stp>
        <tr r="AW9" s="2"/>
        <tr r="M7" s="5"/>
      </tp>
      <tp t="s">
        <v>-</v>
        <stp/>
        <stp>WDOV24_F_0</stp>
        <stp>DOBRAR</stp>
        <tr r="CH57" s="2"/>
        <tr r="AX55" s="5"/>
      </tp>
      <tp>
        <v>-11</v>
        <stp/>
        <stp>DOLPRO_#_0</stp>
        <stp>VARPTS</stp>
        <tr r="AW46" s="2"/>
        <tr r="M44" s="5"/>
      </tp>
      <tp>
        <v>20.880000000000003</v>
        <stp/>
        <stp>BBAS3_B_0</stp>
        <stp>FEC</stp>
        <tr r="J16" s="2"/>
        <tr r="AT14" s="2"/>
        <tr r="J12" s="5"/>
      </tp>
      <tp>
        <v>6.2350119904076902</v>
        <stp/>
        <stp>RANI3_B_0</stp>
        <stp>TRIM</stp>
        <tr r="BS85" s="2"/>
        <tr r="AI83" s="5"/>
        <tr r="BS92" s="2"/>
        <tr r="BS91" s="2"/>
        <tr r="BS90" s="2"/>
        <tr r="BS89" s="2"/>
        <tr r="BS87" s="2"/>
        <tr r="BS88" s="2"/>
        <tr r="BS86" s="2"/>
      </tp>
      <tp>
        <v>0.26720106880428141</v>
        <stp/>
        <stp>PETR4_B_0</stp>
        <stp>SEM</stp>
        <tr r="BM11" s="2"/>
        <tr r="AC9" s="5"/>
      </tp>
      <tp>
        <v>3.8400000000000003</v>
        <stp/>
        <stp>PCAR3_B_0</stp>
        <stp>FEC</stp>
        <tr r="J60" s="2"/>
        <tr r="J60" s="2"/>
        <tr r="J68" s="5"/>
        <tr r="AT70" s="2"/>
      </tp>
      <tp t="s">
        <v>-</v>
        <stp/>
        <stp>PETR4_B_0</stp>
        <stp>VINT</stp>
        <tr r="CJ11" s="2"/>
        <tr r="AZ9" s="5"/>
      </tp>
      <tp>
        <v>15.350000000000001</v>
        <stp/>
        <stp>FLRY3_B_0</stp>
        <stp>ULT</stp>
        <tr r="K39" s="2"/>
      </tp>
      <tp>
        <v>30.85</v>
        <stp/>
        <stp>CURY3_B_0</stp>
        <stp>ULT</stp>
        <tr r="K28" s="2"/>
      </tp>
      <tp t="s">
        <v>-</v>
        <stp/>
        <stp>RAIZ4_B_0</stp>
        <stp>GAMA</stp>
        <tr r="CB77" s="2"/>
        <tr r="AR75" s="5"/>
      </tp>
      <tp>
        <v>17.310000000000002</v>
        <stp/>
        <stp>BRAP4_B_0</stp>
        <stp>FEC</stp>
        <tr r="J15" s="2"/>
        <tr r="AT30" s="2"/>
        <tr r="J28" s="5"/>
      </tp>
      <tp t="s">
        <v>-</v>
        <stp/>
        <stp>PCAR3_B_0</stp>
        <stp>VINT</stp>
        <tr r="CJ70" s="2"/>
        <tr r="AZ68" s="5"/>
      </tp>
      <tp>
        <v>16.190000000000001</v>
        <stp/>
        <stp>BRAV3_B_0</stp>
        <stp>FEC</stp>
        <tr r="J18" s="2"/>
      </tp>
      <tp>
        <v>10.25</v>
        <stp/>
        <stp>GOAU4_B_0</stp>
        <stp>FEC</stp>
        <tr r="J41" s="2"/>
        <tr r="AT19" s="2"/>
        <tr r="J17" s="5"/>
      </tp>
      <tp>
        <v>0</v>
        <stp/>
        <stp>MRVE3_B_0</stp>
        <stp>QUL</stp>
        <tr r="BA18" s="2"/>
        <tr r="Q16" s="5"/>
      </tp>
      <tp>
        <v>5570300</v>
        <stp/>
        <stp>MRVE3_B_0</stp>
        <stp>QTT</stp>
        <tr r="BB18" s="2"/>
        <tr r="R16" s="5"/>
      </tp>
      <tp>
        <v>0</v>
        <stp/>
        <stp>MRVE3_B_0</stp>
        <stp>QTE</stp>
        <tr r="BK18" s="2"/>
        <tr r="AA16" s="5"/>
      </tp>
      <tp>
        <v>18.75</v>
        <stp/>
        <stp>BRFS3_B_0</stp>
        <stp>ABE</stp>
        <tr r="G31" s="5"/>
        <tr r="AQ33" s="2"/>
      </tp>
      <tp>
        <v>6.3100000000000005</v>
        <stp/>
        <stp>GMAT3_B_0</stp>
        <stp>FEC</stp>
        <tr r="AT59" s="2"/>
        <tr r="J57" s="5"/>
      </tp>
      <tp>
        <v>14.680000000000001</v>
        <stp/>
        <stp>DIRR3_B_0</stp>
        <stp>ULT</stp>
        <tr r="K31" s="2"/>
      </tp>
      <tp t="s">
        <v>-</v>
        <stp/>
        <stp>EMBR3_B_0</stp>
        <stp>VIVH</stp>
        <tr r="CI26" s="2"/>
        <tr r="AY24" s="5"/>
      </tp>
      <tp t="s">
        <v>-</v>
        <stp/>
        <stp>ECOR3_B_0</stp>
        <stp>VIVH</stp>
        <tr r="CI7" s="2"/>
        <tr r="AY5" s="5"/>
      </tp>
      <tp>
        <v>5936</v>
        <stp/>
        <stp>RAIZ4_B_0</stp>
        <stp>NEG</stp>
        <tr r="AZ77" s="2"/>
        <tr r="P75" s="5"/>
      </tp>
      <tp t="s">
        <v>17:56:35</v>
        <stp/>
        <stp>ECOR3_B_0</stp>
        <stp>HOR</stp>
        <tr r="E5" s="5"/>
        <tr r="AO7" s="2"/>
      </tp>
      <tp>
        <v>-21.742504501440905</v>
        <stp/>
        <stp>BRFS3_B_0</stp>
        <stp>ANO</stp>
        <tr r="AH31" s="5"/>
        <tr r="BR33" s="2"/>
      </tp>
      <tp t="s">
        <v>-</v>
        <stp/>
        <stp>GGBR4_B_0</stp>
        <stp>VIVH</stp>
        <tr r="CI13" s="2"/>
        <tr r="AY11" s="5"/>
      </tp>
      <tp t="s">
        <v>Fechado</v>
        <stp/>
        <stp>IFIX_B_0</stp>
        <stp>EST</stp>
        <tr r="AN46" s="5"/>
        <tr r="BX48" s="2"/>
      </tp>
      <tp t="s">
        <v>-</v>
        <stp/>
        <stp>SLCE3_B_0</stp>
        <stp>THETA</stp>
        <tr r="CC79" s="2"/>
        <tr r="AS77" s="5"/>
      </tp>
      <tp>
        <v>0</v>
        <stp/>
        <stp>BRFS3_B_0</stp>
        <stp>AJU</stp>
        <tr r="X31" s="5"/>
        <tr r="BH33" s="2"/>
      </tp>
      <tp>
        <v>0</v>
        <stp/>
        <stp>BRFS3_B_0</stp>
        <stp>AJA</stp>
        <tr r="BI33" s="2"/>
        <tr r="Y31" s="5"/>
      </tp>
      <tp t="s">
        <v>-</v>
        <stp/>
        <stp>SMTO3_B_0</stp>
        <stp>THETA</stp>
        <tr r="AS64" s="5"/>
        <tr r="CC66" s="2"/>
      </tp>
      <tp t="s">
        <v>-</v>
        <stp/>
        <stp>ECOR3_B_0</stp>
        <stp>VINT</stp>
        <tr r="CJ7" s="2"/>
        <tr r="AZ5" s="5"/>
      </tp>
      <tp t="s">
        <v>-</v>
        <stp/>
        <stp>EMBR3_B_0</stp>
        <stp>VINT</stp>
        <tr r="CJ26" s="2"/>
        <tr r="AZ24" s="5"/>
      </tp>
      <tp t="s">
        <v>-</v>
        <stp/>
        <stp>PETR4_B_0</stp>
        <stp>BLACK</stp>
        <tr r="BY11" s="2"/>
        <tr r="AO9" s="5"/>
      </tp>
      <tp>
        <v>15.530000000000001</v>
        <stp/>
        <stp>CEAB3_B_0</stp>
        <stp>FEC</stp>
        <tr r="J21" s="2"/>
      </tp>
      <tp t="s">
        <v>-</v>
        <stp/>
        <stp>USIM5_B_0</stp>
        <stp>THETA</stp>
        <tr r="CC29" s="2"/>
        <tr r="AS27" s="5"/>
      </tp>
      <tp>
        <v>5626</v>
        <stp/>
        <stp>MDIA3_B_0</stp>
        <stp>NEG</stp>
        <tr r="AZ78" s="2"/>
        <tr r="P76" s="5"/>
      </tp>
      <tp t="s">
        <v>14/10/2025</v>
        <stp/>
        <stp>SLCE3_B_0</stp>
        <stp>DAT</stp>
        <tr r="D77" s="5"/>
        <tr r="AN79" s="2"/>
      </tp>
      <tp>
        <v>141995</v>
        <stp/>
        <stp>IBOV_B_0</stp>
        <stp>AJA</stp>
        <tr r="BI6" s="2"/>
        <tr r="Y4" s="5"/>
      </tp>
      <tp>
        <v>141975</v>
        <stp/>
        <stp>IBOV_B_0</stp>
        <stp>AJU</stp>
        <tr r="BH6" s="2"/>
        <tr r="X4" s="5"/>
      </tp>
      <tp>
        <v>-13.880126182965286</v>
        <stp/>
        <stp>ASAI3_B_0</stp>
        <stp>TRIM</stp>
        <tr r="BS61" s="2"/>
        <tr r="AI59" s="5"/>
      </tp>
      <tp>
        <v>22.14</v>
        <stp/>
        <stp>MRFG3_B_0</stp>
        <stp>ABE</stp>
        <tr r="G66" s="5"/>
        <tr r="AQ68" s="2"/>
      </tp>
      <tp>
        <v>12495</v>
        <stp/>
        <stp>CMIG4_B_0</stp>
        <stp>NEG</stp>
        <tr r="AZ23" s="2"/>
        <tr r="P21" s="5"/>
      </tp>
      <tp>
        <v>0</v>
        <stp/>
        <stp>BBDC4_B_0</stp>
        <stp>CAB</stp>
        <tr r="BW27" s="2"/>
        <tr r="AM25" s="5"/>
      </tp>
      <tp t="s">
        <v>-</v>
        <stp/>
        <stp>GGBR4_B_0</stp>
        <stp>VINT</stp>
        <tr r="CJ13" s="2"/>
        <tr r="AZ11" s="5"/>
      </tp>
      <tp>
        <v>20.14</v>
        <stp/>
        <stp>AGRO3_B_0</stp>
        <stp>ULT</stp>
        <tr r="F69" s="5"/>
        <tr r="AP71" s="2"/>
      </tp>
      <tp>
        <v>0</v>
        <stp/>
        <stp>VIVT3_B_0</stp>
        <stp>QTE</stp>
        <tr r="BK9" s="2"/>
        <tr r="AA7" s="5"/>
      </tp>
      <tp>
        <v>23.990000000000002</v>
        <stp/>
        <stp>ISAE4_B_0</stp>
        <stp>FEC</stp>
        <tr r="J46" s="2"/>
      </tp>
      <tp>
        <v>3269600</v>
        <stp/>
        <stp>VIVT3_B_0</stp>
        <stp>QTT</stp>
        <tr r="BB9" s="2"/>
        <tr r="R7" s="5"/>
      </tp>
      <tp>
        <v>0</v>
        <stp/>
        <stp>CRFB3_B_0</stp>
        <stp>ABE</stp>
        <tr r="G61" s="5"/>
        <tr r="AQ63" s="2"/>
      </tp>
      <tp>
        <v>17.790975313301761</v>
        <stp/>
        <stp>IBOV_B_0</stp>
        <stp>ANO</stp>
        <tr r="BR6" s="2"/>
        <tr r="AH4" s="5"/>
      </tp>
      <tp>
        <v>0</v>
        <stp/>
        <stp>VIVT3_B_0</stp>
        <stp>QUL</stp>
        <tr r="BA9" s="2"/>
        <tr r="Q7" s="5"/>
      </tp>
      <tp t="s">
        <v>-</v>
        <stp/>
        <stp>ARZZ3_B_0</stp>
        <stp>GAMA</stp>
        <tr r="CB72" s="2"/>
        <tr r="AR70" s="5"/>
      </tp>
      <tp t="s">
        <v>Pré-Fechamento</v>
        <stp/>
        <stp>EMBR3_B_0</stp>
        <stp>EST</stp>
        <tr r="BX26" s="2"/>
        <tr r="AN24" s="5"/>
      </tp>
      <tp t="s">
        <v>Pré-Fechamento</v>
        <stp/>
        <stp>GGBR4_B_0</stp>
        <stp>EST</stp>
        <tr r="BX13" s="2"/>
        <tr r="AN11" s="5"/>
      </tp>
      <tp t="s">
        <v>-</v>
        <stp/>
        <stp>SUZB3_B_0</stp>
        <stp>THETA</stp>
        <tr r="CC25" s="2"/>
        <tr r="AS23" s="5"/>
      </tp>
      <tp t="s">
        <v>14/10/2025</v>
        <stp/>
        <stp>DXCO3_B_0</stp>
        <stp>DAT</stp>
        <tr r="D73" s="5"/>
        <tr r="AN75" s="2"/>
      </tp>
      <tp>
        <v>0</v>
        <stp/>
        <stp>CRFB3_B_0</stp>
        <stp>ANO</stp>
        <tr r="BR63" s="2"/>
        <tr r="AH61" s="5"/>
      </tp>
      <tp>
        <v>8.0500000000000007</v>
        <stp/>
        <stp>ASAI3_B_0</stp>
        <stp>FEC</stp>
        <tr r="J8" s="2"/>
        <tr r="AT61" s="2"/>
        <tr r="J59" s="5"/>
      </tp>
      <tp t="s">
        <v>-</v>
        <stp/>
        <stp>PETR4_B_0</stp>
        <stp>VIVH</stp>
        <tr r="CI11" s="2"/>
        <tr r="AY9" s="5"/>
      </tp>
      <tp>
        <v>141788.35</v>
        <stp/>
        <stp>IBOV_B_0</stp>
        <stp>ABE</stp>
        <tr r="G4" s="5"/>
        <tr r="AQ6" s="2"/>
      </tp>
      <tp>
        <v>0</v>
        <stp/>
        <stp>MRFG3_B_0</stp>
        <stp>AJU</stp>
        <tr r="X66" s="5"/>
        <tr r="BH68" s="2"/>
      </tp>
      <tp>
        <v>0</v>
        <stp/>
        <stp>MRFG3_B_0</stp>
        <stp>AJA</stp>
        <tr r="Y66" s="5"/>
        <tr r="BI68" s="2"/>
      </tp>
      <tp>
        <v>15.3</v>
        <stp/>
        <stp>MBRF3_B_0</stp>
        <stp>ULT</stp>
        <tr r="K54" s="2"/>
      </tp>
      <tp>
        <v>-0.64308681672025492</v>
        <stp/>
        <stp>SMTO3_B_0</stp>
        <stp>SEM</stp>
        <tr r="AC64" s="5"/>
        <tr r="BM66" s="2"/>
      </tp>
      <tp t="s">
        <v>-</v>
        <stp/>
        <stp>ITUB4_B_0</stp>
        <stp>RHO</stp>
        <tr r="CD32" s="2"/>
        <tr r="AT30" s="5"/>
      </tp>
      <tp>
        <v>5.87</v>
        <stp/>
        <stp>CSAN3_B_0</stp>
        <stp>FEC</stp>
        <tr r="J25" s="2"/>
        <tr r="AT62" s="2"/>
        <tr r="J60" s="5"/>
      </tp>
      <tp t="s">
        <v>-</v>
        <stp/>
        <stp>PCAR3_B_0</stp>
        <stp>VIVH</stp>
        <tr r="CI70" s="2"/>
        <tr r="AY68" s="5"/>
      </tp>
      <tp>
        <v>0</v>
        <stp/>
        <stp>CRFB3_B_0</stp>
        <stp>AJU</stp>
        <tr r="BH63" s="2"/>
        <tr r="X61" s="5"/>
      </tp>
      <tp>
        <v>12508</v>
        <stp/>
        <stp>USIM5_B_0</stp>
        <stp>NEG</stp>
        <tr r="AZ29" s="2"/>
        <tr r="P27" s="5"/>
      </tp>
      <tp>
        <v>0</v>
        <stp/>
        <stp>CRFB3_B_0</stp>
        <stp>AJA</stp>
        <tr r="BI63" s="2"/>
        <tr r="Y61" s="5"/>
      </tp>
      <tp>
        <v>28.82</v>
        <stp/>
        <stp>CYRE3_B_0</stp>
        <stp>ULT</stp>
        <tr r="K30" s="2"/>
        <tr r="F26" s="5"/>
        <tr r="AP28" s="2"/>
      </tp>
      <tp>
        <v>10.46</v>
        <stp/>
        <stp>AURE3_B_0</stp>
        <stp>ULT</stp>
        <tr r="K9" s="2"/>
      </tp>
      <tp>
        <v>9439</v>
        <stp/>
        <stp>RAIL3_B_0</stp>
        <stp>NEG</stp>
        <tr r="AZ60" s="2"/>
        <tr r="P58" s="5"/>
      </tp>
      <tp>
        <v>38.698259047894233</v>
        <stp/>
        <stp>MRFG3_B_0</stp>
        <stp>ANO</stp>
        <tr r="AH66" s="5"/>
        <tr r="BR68" s="2"/>
      </tp>
      <tp>
        <v>0</v>
        <stp/>
        <stp>WDON24_F_0</stp>
        <stp>OCP</stp>
        <tr r="BD50" s="2"/>
        <tr r="T48" s="5"/>
      </tp>
      <tp>
        <v>0</v>
        <stp/>
        <stp>WING24_F_0</stp>
        <stp>FEC</stp>
        <tr r="AT42" s="2"/>
        <tr r="J40" s="5"/>
      </tp>
      <tp>
        <v>0</v>
        <stp/>
        <stp>WDOG24_F_0</stp>
        <stp>FEC</stp>
        <tr r="AT53" s="2"/>
        <tr r="J51" s="5"/>
      </tp>
      <tp>
        <v>0</v>
        <stp/>
        <stp>WDOQ24_F_0</stp>
        <stp>PEX</stp>
        <tr r="AU54" s="2"/>
        <tr r="K52" s="5"/>
      </tp>
      <tp>
        <v>0</v>
        <stp/>
        <stp>WINQ24_F_0</stp>
        <stp>PEX</stp>
        <tr r="AU41" s="2"/>
        <tr r="K39" s="5"/>
      </tp>
      <tp>
        <v>0</v>
        <stp/>
        <stp>WINQ24_F_0</stp>
        <stp>PRT</stp>
        <tr r="BJ41" s="2"/>
        <tr r="Z39" s="5"/>
      </tp>
      <tp>
        <v>0</v>
        <stp/>
        <stp>WDOQ24_F_0</stp>
        <stp>PRT</stp>
        <tr r="BJ54" s="2"/>
        <tr r="Z52" s="5"/>
      </tp>
      <tp>
        <v>47.31</v>
        <stp/>
        <stp>BPAC11_B_0</stp>
        <stp>FEC</stp>
        <tr r="J19" s="2"/>
      </tp>
      <tp>
        <v>0</v>
        <stp/>
        <stp>WDON24_F_0</stp>
        <stp>OVD</stp>
        <tr r="BE50" s="2"/>
        <tr r="U48" s="5"/>
      </tp>
      <tp t="s">
        <v>-</v>
        <stp/>
        <stp>WINJ24_F_0</stp>
        <stp>DOBRAR</stp>
        <tr r="AX36" s="5"/>
        <tr r="CH38" s="2"/>
      </tp>
      <tp t="s">
        <v>-</v>
        <stp/>
        <stp>WINM24_F_0</stp>
        <stp>DOBRAR</stp>
        <tr r="CH40" s="2"/>
        <tr r="AX38" s="5"/>
      </tp>
      <tp>
        <v>-8</v>
        <stp/>
        <stp>DOLFUT_F_0</stp>
        <stp>VARPTS</stp>
        <tr r="AW15" s="2"/>
        <tr r="M13" s="5"/>
      </tp>
      <tp t="s">
        <v>-</v>
        <stp/>
        <stp>WING24_F_0</stp>
        <stp>DOBRAR</stp>
        <tr r="CH42" s="2"/>
        <tr r="AX40" s="5"/>
      </tp>
      <tp t="s">
        <v>-</v>
        <stp/>
        <stp>WINFUT_F_0</stp>
        <stp>DOBRAR</stp>
        <tr r="CH36" s="2"/>
        <tr r="AX34" s="5"/>
      </tp>
      <tp t="s">
        <v>-</v>
        <stp/>
        <stp>WINZ24_F_0</stp>
        <stp>DOBRAR</stp>
        <tr r="CH43" s="2"/>
        <tr r="AX41" s="5"/>
      </tp>
      <tp>
        <v>3</v>
        <stp/>
        <stp>WDOFUTV_F_0</stp>
        <stp>QUL</stp>
        <tr r="Q45" s="5"/>
        <tr r="BA47" s="2"/>
      </tp>
      <tp>
        <v>0</v>
        <stp/>
        <stp>WDOFUTV_F_0</stp>
        <stp>QTE</stp>
        <tr r="AA45" s="5"/>
        <tr r="BK47" s="2"/>
      </tp>
      <tp>
        <v>256742</v>
        <stp/>
        <stp>WDOFUTV_F_0</stp>
        <stp>QTT</stp>
        <tr r="R45" s="5"/>
        <tr r="BB47" s="2"/>
      </tp>
      <tp t="s">
        <v>-</v>
        <stp/>
        <stp>WINQ24_F_0</stp>
        <stp>DOBRAR</stp>
        <tr r="CH41" s="2"/>
        <tr r="AX39" s="5"/>
      </tp>
      <tp t="s">
        <v>-</v>
        <stp/>
        <stp>WINV24_F_0</stp>
        <stp>DOBRAR</stp>
        <tr r="AX42" s="5"/>
        <tr r="CH44" s="2"/>
      </tp>
      <tp>
        <v>20534700</v>
        <stp/>
        <stp>ITUB4_B_0</stp>
        <stp>QTT</stp>
        <tr r="BB32" s="2"/>
        <tr r="R30" s="5"/>
      </tp>
      <tp>
        <v>0</v>
        <stp/>
        <stp>ITUB4_B_0</stp>
        <stp>QTE</stp>
        <tr r="BK32" s="2"/>
        <tr r="AA30" s="5"/>
      </tp>
      <tp t="s">
        <v>-</v>
        <stp/>
        <stp>TUPY3_B_0</stp>
        <stp>BLACK</stp>
        <tr r="BY81" s="2"/>
        <tr r="AO79" s="5"/>
      </tp>
      <tp>
        <v>23.64</v>
        <stp/>
        <stp>VBBR3_B_0</stp>
        <stp>FEC</stp>
        <tr r="J84" s="2"/>
      </tp>
      <tp>
        <v>46.95</v>
        <stp/>
        <stp>IRBR3_B_0</stp>
        <stp>FEC</stp>
        <tr r="J45" s="2"/>
      </tp>
      <tp>
        <v>0</v>
        <stp/>
        <stp>PETR4_B_0</stp>
        <stp>PEX</stp>
        <tr r="AU11" s="2"/>
        <tr r="K9" s="5"/>
      </tp>
      <tp>
        <v>17.720000000000002</v>
        <stp/>
        <stp>GGBR4_B_0</stp>
        <stp>FEC</stp>
        <tr r="J40" s="2"/>
        <tr r="AT13" s="2"/>
        <tr r="J11" s="5"/>
      </tp>
      <tp>
        <v>0</v>
        <stp/>
        <stp>ITUB4_B_0</stp>
        <stp>QUL</stp>
        <tr r="BA32" s="2"/>
        <tr r="Q30" s="5"/>
      </tp>
      <tp>
        <v>78.8</v>
        <stp/>
        <stp>EMBR3_B_0</stp>
        <stp>FEC</stp>
        <tr r="J34" s="2"/>
        <tr r="AT26" s="2"/>
        <tr r="J24" s="5"/>
      </tp>
      <tp t="s">
        <v>-</v>
        <stp/>
        <stp>TTEN3_B_0</stp>
        <stp>BLACK</stp>
        <tr r="BY84" s="2"/>
        <tr r="AO82" s="5"/>
      </tp>
      <tp t="s">
        <v>-</v>
        <stp/>
        <stp>PCAR3_B_0</stp>
        <stp>THETA</stp>
        <tr r="CC70" s="2"/>
        <tr r="AS68" s="5"/>
      </tp>
      <tp t="s">
        <v>-</v>
        <stp/>
        <stp>TUPY3_B_0</stp>
        <stp>GAMA</stp>
        <tr r="CB81" s="2"/>
        <tr r="AR79" s="5"/>
      </tp>
      <tp>
        <v>11.8</v>
        <stp/>
        <stp>ABEV3_B_0</stp>
        <stp>ABE</stp>
        <tr r="AQ20" s="2"/>
        <tr r="G18" s="5"/>
      </tp>
      <tp t="s">
        <v>-</v>
        <stp/>
        <stp>BBDC4_B_0</stp>
        <stp>IMPVT</stp>
        <tr r="BZ27" s="2"/>
        <tr r="AP25" s="5"/>
      </tp>
      <tp>
        <v>99272873</v>
        <stp/>
        <stp>CYRE3_B_0</stp>
        <stp>VPJ</stp>
        <tr r="AB26" s="5"/>
        <tr r="BL28" s="2"/>
      </tp>
      <tp t="s">
        <v>-</v>
        <stp/>
        <stp>ECOR3_B_0</stp>
        <stp>IMPVT</stp>
        <tr r="BZ7" s="2"/>
        <tr r="AP5" s="5"/>
      </tp>
      <tp t="s">
        <v>15/10/2025</v>
        <stp/>
        <stp>WINFUT_F_0</stp>
        <stp>DAT</stp>
        <tr r="D34" s="5"/>
        <tr r="AN36" s="2"/>
      </tp>
      <tp t="s">
        <v>15/10/2025</v>
        <stp/>
        <stp>WDOFUT_F_0</stp>
        <stp>DAT</stp>
        <tr r="D35" s="5"/>
        <tr r="AN37" s="2"/>
      </tp>
      <tp>
        <v>0.84</v>
        <stp/>
        <stp>RAIZ4_B_0</stp>
        <stp>MIN</stp>
        <tr r="AS77" s="2"/>
        <tr r="I75" s="5"/>
      </tp>
      <tp>
        <v>0</v>
        <stp/>
        <stp>DOLPT_E_0</stp>
        <stp>OCP</stp>
        <tr r="BD16" s="2"/>
        <tr r="T14" s="5"/>
      </tp>
      <tp>
        <v>0</v>
        <stp/>
        <stp>EQTL3_B_0</stp>
        <stp>PRT</stp>
        <tr r="L38" s="2"/>
      </tp>
      <tp>
        <v>0.87558850889947015</v>
        <stp/>
        <stp>RAIZ4_B_0</stp>
        <stp>MED</stp>
        <tr r="AX77" s="2"/>
        <tr r="N75" s="5"/>
      </tp>
      <tp>
        <v>3154396</v>
        <stp/>
        <stp>AGRO3_B_0</stp>
        <stp>VPJ</stp>
        <tr r="BL71" s="2"/>
        <tr r="AB69" s="5"/>
      </tp>
      <tp>
        <v>-13.725490196078432</v>
        <stp/>
        <stp>RAIZ4_B_0</stp>
        <stp>MES</stp>
        <tr r="BN77" s="2"/>
        <tr r="AD75" s="5"/>
      </tp>
      <tp t="s">
        <v>-</v>
        <stp/>
        <stp>VIVT3_B_0</stp>
        <stp>RHO</stp>
        <tr r="CD9" s="2"/>
        <tr r="AT7" s="5"/>
      </tp>
      <tp>
        <v>0</v>
        <stp/>
        <stp>ABEV3_B_0</stp>
        <stp>AJU</stp>
        <tr r="BH20" s="2"/>
        <tr r="X18" s="5"/>
      </tp>
      <tp>
        <v>0</v>
        <stp/>
        <stp>ABEV3_B_0</stp>
        <stp>AJA</stp>
        <tr r="Y18" s="5"/>
        <tr r="BI20" s="2"/>
      </tp>
      <tp t="s">
        <v>Pré-Fechamento</v>
        <stp/>
        <stp>CSAN3_B_0</stp>
        <stp>EST</stp>
        <tr r="BX62" s="2"/>
        <tr r="AN60" s="5"/>
      </tp>
      <tp>
        <v>0</v>
        <stp/>
        <stp>SMTO3_B_0</stp>
        <stp>PRT</stp>
        <tr r="Z64" s="5"/>
        <tr r="BJ66" s="2"/>
      </tp>
      <tp t="s">
        <v>17:07:37</v>
        <stp/>
        <stp>MGLU3_B_0</stp>
        <stp>HOR</stp>
        <tr r="E33" s="5"/>
        <tr r="AO35" s="2"/>
      </tp>
      <tp t="s">
        <v>Pré-Fechamento</v>
        <stp/>
        <stp>ASAI3_B_0</stp>
        <stp>EST</stp>
        <tr r="BX61" s="2"/>
        <tr r="AN59" s="5"/>
      </tp>
      <tp>
        <v>0.9</v>
        <stp/>
        <stp>RAIZ4_B_0</stp>
        <stp>MAX</stp>
        <tr r="AR77" s="2"/>
        <tr r="H75" s="5"/>
      </tp>
      <tp t="s">
        <v>-</v>
        <stp/>
        <stp>EMBR3_B_0</stp>
        <stp>IMPVT</stp>
        <tr r="BZ26" s="2"/>
        <tr r="AP24" s="5"/>
      </tp>
      <tp>
        <v>5.6192972153318879</v>
        <stp/>
        <stp>ABEV3_B_0</stp>
        <stp>ANO</stp>
        <tr r="BR20" s="2"/>
        <tr r="AH18" s="5"/>
      </tp>
      <tp>
        <v>10.83</v>
        <stp/>
        <stp>CMIG4_B_0</stp>
        <stp>MAX</stp>
        <tr r="AR23" s="2"/>
        <tr r="H21" s="5"/>
      </tp>
      <tp>
        <v>0</v>
        <stp/>
        <stp>CIEL3_B_0</stp>
        <stp>AJU</stp>
        <tr r="BH8" s="2"/>
        <tr r="X6" s="5"/>
      </tp>
      <tp t="s">
        <v>Pré-Fechamento</v>
        <stp/>
        <stp>GOAU4_B_0</stp>
        <stp>EST</stp>
        <tr r="BX19" s="2"/>
        <tr r="AN17" s="5"/>
      </tp>
      <tp t="s">
        <v>-</v>
        <stp/>
        <stp>AGRO3_B_0</stp>
        <stp>VIB</stp>
        <tr r="CG71" s="2"/>
        <tr r="AW69" s="5"/>
      </tp>
      <tp>
        <v>0</v>
        <stp/>
        <stp>CIEL3_B_0</stp>
        <stp>AJA</stp>
        <tr r="BI8" s="2"/>
        <tr r="Y6" s="5"/>
      </tp>
      <tp t="s">
        <v>-</v>
        <stp/>
        <stp>AGRO3_B_0</stp>
        <stp>VIA</stp>
        <tr r="CF71" s="2"/>
        <tr r="AV69" s="5"/>
      </tp>
      <tp>
        <v>0</v>
        <stp/>
        <stp>DOLPT_E_0</stp>
        <stp>OVD</stp>
        <tr r="BE16" s="2"/>
        <tr r="U14" s="5"/>
      </tp>
      <tp>
        <v>0</v>
        <stp/>
        <stp>NATU3_B_0</stp>
        <stp>PRT</stp>
        <tr r="L59" s="2"/>
      </tp>
      <tp t="s">
        <v>Pré-Fechamento</v>
        <stp/>
        <stp>GMAT3_B_0</stp>
        <stp>EST</stp>
        <tr r="BX59" s="2"/>
        <tr r="AN57" s="5"/>
      </tp>
      <tp>
        <v>0</v>
        <stp/>
        <stp>LREN3_B_0</stp>
        <stp>AJU</stp>
        <tr r="BH34" s="2"/>
        <tr r="X32" s="5"/>
      </tp>
      <tp>
        <v>0</v>
        <stp/>
        <stp>MOTV3_B_0</stp>
        <stp>PRT</stp>
        <tr r="L56" s="2"/>
      </tp>
      <tp>
        <v>-2.0528879610299229</v>
        <stp/>
        <stp>MDIA3_B_0</stp>
        <stp>MES</stp>
        <tr r="BN78" s="2"/>
        <tr r="AD76" s="5"/>
      </tp>
      <tp>
        <v>4.41</v>
        <stp/>
        <stp>USIM5_B_0</stp>
        <stp>MIN</stp>
        <tr r="AS29" s="2"/>
        <tr r="I27" s="5"/>
      </tp>
      <tp>
        <v>-0.51777701070073223</v>
        <stp/>
        <stp>CYRE3_B_0</stp>
        <stp>VAR</stp>
        <tr r="AV28" s="2"/>
        <tr r="L26" s="5"/>
      </tp>
      <tp>
        <v>0</v>
        <stp/>
        <stp>TTEN3_B_0</stp>
        <stp>AJA</stp>
        <tr r="BI84" s="2"/>
        <tr r="Y82" s="5"/>
      </tp>
      <tp>
        <v>28.053711492890994</v>
        <stp/>
        <stp>MDIA3_B_0</stp>
        <stp>MED</stp>
        <tr r="AX78" s="2"/>
        <tr r="N76" s="5"/>
      </tp>
      <tp t="s">
        <v>31/12/9999</v>
        <stp/>
        <stp>CYRE3_B_0</stp>
        <stp>VAL</stp>
        <tr r="BV28" s="2"/>
        <tr r="AL26" s="5"/>
      </tp>
      <tp>
        <v>0</v>
        <stp/>
        <stp>LREN3_B_0</stp>
        <stp>AJA</stp>
        <tr r="BI34" s="2"/>
        <tr r="Y32" s="5"/>
      </tp>
      <tp>
        <v>0</v>
        <stp/>
        <stp>TTEN3_B_0</stp>
        <stp>AJU</stp>
        <tr r="BH84" s="2"/>
        <tr r="X82" s="5"/>
      </tp>
      <tp>
        <v>6.45</v>
        <stp/>
        <stp>BEEF3_B_0</stp>
        <stp>ABE</stp>
        <tr r="G65" s="5"/>
        <tr r="AQ67" s="2"/>
      </tp>
      <tp t="s">
        <v>-</v>
        <stp/>
        <stp>BRAP4_B_0</stp>
        <stp>IMPVT</stp>
        <tr r="BZ30" s="2"/>
        <tr r="AP28" s="5"/>
      </tp>
      <tp>
        <v>15.26</v>
        <stp/>
        <stp>RAIL3_B_0</stp>
        <stp>MIN</stp>
        <tr r="AS60" s="2"/>
        <tr r="I58" s="5"/>
      </tp>
      <tp>
        <v>-3.8565022421524637</v>
        <stp/>
        <stp>CMIG4_B_0</stp>
        <stp>MES</stp>
        <tr r="BN23" s="2"/>
        <tr r="AD21" s="5"/>
      </tp>
      <tp>
        <v>0</v>
        <stp/>
        <stp>CIEL3_B_0</stp>
        <stp>ANO</stp>
        <tr r="BR8" s="2"/>
        <tr r="AH6" s="5"/>
      </tp>
      <tp>
        <v>10.761893446088795</v>
        <stp/>
        <stp>CMIG4_B_0</stp>
        <stp>MED</stp>
        <tr r="AX23" s="2"/>
        <tr r="N21" s="5"/>
      </tp>
      <tp t="s">
        <v>17:59:49</v>
        <stp/>
        <stp>JALL3_B_0</stp>
        <stp>HOR</stp>
        <tr r="AO69" s="2"/>
        <tr r="E67" s="5"/>
      </tp>
      <tp t="s">
        <v>Pré-Fechamento</v>
        <stp/>
        <stp>BRAP4_B_0</stp>
        <stp>EST</stp>
        <tr r="BX30" s="2"/>
        <tr r="AN28" s="5"/>
      </tp>
      <tp>
        <v>1.3794984848373073</v>
        <stp/>
        <stp>TTEN3_B_0</stp>
        <stp>ANO</stp>
        <tr r="BR84" s="2"/>
        <tr r="AH82" s="5"/>
      </tp>
      <tp>
        <v>100</v>
        <stp/>
        <stp>AGRO3_B_0</stp>
        <stp>VOV</stp>
        <tr r="BG71" s="2"/>
        <tr r="W69" s="5"/>
      </tp>
      <tp t="s">
        <v>Pré-Fechamento</v>
        <stp/>
        <stp>BBAS3_B_0</stp>
        <stp>EST</stp>
        <tr r="BX14" s="2"/>
        <tr r="AN12" s="5"/>
      </tp>
      <tp>
        <v>28.38</v>
        <stp/>
        <stp>MDIA3_B_0</stp>
        <stp>MAX</stp>
        <tr r="AR78" s="2"/>
        <tr r="H76" s="5"/>
      </tp>
      <tp t="s">
        <v>-</v>
        <stp/>
        <stp>CYRE3_B_0</stp>
        <stp>VEN</stp>
        <tr r="BU28" s="2"/>
        <tr r="AK26" s="5"/>
      </tp>
      <tp>
        <v>3154396</v>
        <stp/>
        <stp>AGRO3_B_0</stp>
        <stp>VOL</stp>
        <tr r="BC71" s="2"/>
        <tr r="S69" s="5"/>
      </tp>
      <tp>
        <v>22.190555830503268</v>
        <stp/>
        <stp>LREN3_B_0</stp>
        <stp>ANO</stp>
        <tr r="BR34" s="2"/>
        <tr r="AH32" s="5"/>
      </tp>
      <tp>
        <v>0</v>
        <stp/>
        <stp>PETR4_B_0</stp>
        <stp>PRT</stp>
        <tr r="L62" s="2"/>
        <tr r="BJ11" s="2"/>
        <tr r="Z9" s="5"/>
      </tp>
      <tp>
        <v>200</v>
        <stp/>
        <stp>AGRO3_B_0</stp>
        <stp>VOC</stp>
        <tr r="BF71" s="2"/>
        <tr r="V69" s="5"/>
      </tp>
      <tp>
        <v>0</v>
        <stp/>
        <stp>PETR3_B_0</stp>
        <stp>PRT</stp>
        <tr r="L61" s="2"/>
      </tp>
      <tp t="s">
        <v>15/10/2025</v>
        <stp/>
        <stp>DOLFUT_F_0</stp>
        <stp>DAT</stp>
        <tr r="AN15" s="2"/>
        <tr r="D13" s="5"/>
      </tp>
      <tp>
        <v>0</v>
        <stp/>
        <stp>TOTS3_B_0</stp>
        <stp>PRT</stp>
        <tr r="L79" s="2"/>
      </tp>
      <tp t="s">
        <v>Pré-Fechamento</v>
        <stp/>
        <stp>PCAR3_B_0</stp>
        <stp>EST</stp>
        <tr r="BX70" s="2"/>
        <tr r="AN68" s="5"/>
      </tp>
      <tp>
        <v>-0.29702970297029069</v>
        <stp/>
        <stp>AGRO3_B_0</stp>
        <stp>VAR</stp>
        <tr r="AV71" s="2"/>
        <tr r="L69" s="5"/>
      </tp>
      <tp>
        <v>10.66</v>
        <stp/>
        <stp>CMIG4_B_0</stp>
        <stp>MIN</stp>
        <tr r="AS23" s="2"/>
        <tr r="I21" s="5"/>
      </tp>
      <tp t="s">
        <v>31/12/9999</v>
        <stp/>
        <stp>AGRO3_B_0</stp>
        <stp>VAL</stp>
        <tr r="BV71" s="2"/>
        <tr r="AL69" s="5"/>
      </tp>
      <tp>
        <v>0</v>
        <stp/>
        <stp>CIEL3_B_0</stp>
        <stp>ABE</stp>
        <tr r="G6" s="5"/>
        <tr r="AQ8" s="2"/>
      </tp>
      <tp t="s">
        <v>15/10/2025</v>
        <stp/>
        <stp>INDFUT_F_0</stp>
        <stp>DAT</stp>
        <tr r="D15" s="5"/>
        <tr r="AN17" s="2"/>
      </tp>
      <tp>
        <v>13.67</v>
        <stp/>
        <stp>TTEN3_B_0</stp>
        <stp>ABE</stp>
        <tr r="G82" s="5"/>
        <tr r="AQ84" s="2"/>
      </tp>
      <tp>
        <v>0</v>
        <stp/>
        <stp>BEEF3_B_0</stp>
        <stp>AJU</stp>
        <tr r="X65" s="5"/>
        <tr r="BH67" s="2"/>
      </tp>
      <tp>
        <v>4.68</v>
        <stp/>
        <stp>USIM5_B_0</stp>
        <stp>MAX</stp>
        <tr r="AR29" s="2"/>
        <tr r="H27" s="5"/>
      </tp>
      <tp>
        <v>14.07</v>
        <stp/>
        <stp>LREN3_B_0</stp>
        <stp>ABE</stp>
        <tr r="G32" s="5"/>
        <tr r="AQ34" s="2"/>
      </tp>
      <tp>
        <v>0</v>
        <stp/>
        <stp>BEEF3_B_0</stp>
        <stp>AJA</stp>
        <tr r="Y65" s="5"/>
        <tr r="BI67" s="2"/>
      </tp>
      <tp t="s">
        <v>-</v>
        <stp/>
        <stp>CYRE3_B_0</stp>
        <stp>VIA</stp>
        <tr r="CF28" s="2"/>
        <tr r="AV26" s="5"/>
      </tp>
      <tp t="s">
        <v>-</v>
        <stp/>
        <stp>CYRE3_B_0</stp>
        <stp>VIB</stp>
        <tr r="CG28" s="2"/>
        <tr r="AW26" s="5"/>
      </tp>
      <tp>
        <v>15.52</v>
        <stp/>
        <stp>RAIL3_B_0</stp>
        <stp>MAX</stp>
        <tr r="AR60" s="2"/>
        <tr r="H58" s="5"/>
      </tp>
      <tp t="s">
        <v>-</v>
        <stp/>
        <stp>MRVE3_B_0</stp>
        <stp>RHO</stp>
        <tr r="CD18" s="2"/>
        <tr r="AT16" s="5"/>
      </tp>
      <tp>
        <v>3569.96</v>
        <stp/>
        <stp>IFIX_B_0</stp>
        <stp>FEC</stp>
        <tr r="J46" s="5"/>
        <tr r="AT48" s="2"/>
      </tp>
      <tp>
        <v>100</v>
        <stp/>
        <stp>CYRE3_B_0</stp>
        <stp>VOV</stp>
        <tr r="W26" s="5"/>
        <tr r="BG28" s="2"/>
      </tp>
      <tp>
        <v>0</v>
        <stp/>
        <stp>SMTO3_B_0</stp>
        <stp>PEX</stp>
        <tr r="K64" s="5"/>
        <tr r="AU66" s="2"/>
      </tp>
      <tp>
        <v>99272873</v>
        <stp/>
        <stp>CYRE3_B_0</stp>
        <stp>VOL</stp>
        <tr r="S26" s="5"/>
        <tr r="BC28" s="2"/>
      </tp>
      <tp t="s">
        <v>-</v>
        <stp/>
        <stp>AGRO3_B_0</stp>
        <stp>VEN</stp>
        <tr r="BU71" s="2"/>
        <tr r="AK69" s="5"/>
      </tp>
      <tp>
        <v>200</v>
        <stp/>
        <stp>CYRE3_B_0</stp>
        <stp>VOC</stp>
        <tr r="BF28" s="2"/>
        <tr r="V26" s="5"/>
      </tp>
      <tp t="s">
        <v>17:07:35</v>
        <stp/>
        <stp>VALE3_B_0</stp>
        <stp>HOR</stp>
        <tr r="E10" s="5"/>
        <tr r="AO12" s="2"/>
      </tp>
      <tp>
        <v>4.6011667112131311</v>
        <stp/>
        <stp>USIM5_B_0</stp>
        <stp>MED</stp>
        <tr r="AX29" s="2"/>
        <tr r="N27" s="5"/>
      </tp>
      <tp>
        <v>60.804508356004646</v>
        <stp/>
        <stp>BEEF3_B_0</stp>
        <stp>ANO</stp>
        <tr r="AH65" s="5"/>
        <tr r="BR67" s="2"/>
      </tp>
      <tp>
        <v>26.66</v>
        <stp/>
        <stp>MDIA3_B_0</stp>
        <stp>MIN</stp>
        <tr r="AS78" s="2"/>
        <tr r="I76" s="5"/>
      </tp>
      <tp>
        <v>9.9290780141843946</v>
        <stp/>
        <stp>USIM5_B_0</stp>
        <stp>MES</stp>
        <tr r="BN29" s="2"/>
        <tr r="AD27" s="5"/>
      </tp>
      <tp>
        <v>15.373315062542323</v>
        <stp/>
        <stp>RAIL3_B_0</stp>
        <stp>MED</stp>
        <tr r="AX60" s="2"/>
        <tr r="N58" s="5"/>
      </tp>
      <tp>
        <v>-3.7570444583594216</v>
        <stp/>
        <stp>RAIL3_B_0</stp>
        <stp>MES</stp>
        <tr r="BN60" s="2"/>
        <tr r="AD58" s="5"/>
      </tp>
      <tp>
        <v>0</v>
        <stp/>
        <stp>WINM24_F_0</stp>
        <stp>OCP</stp>
        <tr r="BD40" s="2"/>
        <tr r="T38" s="5"/>
      </tp>
      <tp>
        <v>0</v>
        <stp/>
        <stp>WDOM24_F_0</stp>
        <stp>OCP</stp>
        <tr r="T47" s="5"/>
        <tr r="BD49" s="2"/>
      </tp>
      <tp>
        <v>0</v>
        <stp/>
        <stp>WDOQ24_F_0</stp>
        <stp>SEM</stp>
        <tr r="BM54" s="2"/>
        <tr r="AC52" s="5"/>
      </tp>
      <tp>
        <v>0</v>
        <stp/>
        <stp>WINQ24_F_0</stp>
        <stp>SEM</stp>
        <tr r="BM41" s="2"/>
        <tr r="AC39" s="5"/>
      </tp>
      <tp>
        <v>0</v>
        <stp/>
        <stp>INDM24_F_0</stp>
        <stp>OVD</stp>
        <tr r="U43" s="5"/>
        <tr r="BE45" s="2"/>
      </tp>
      <tp t="s">
        <v>00:00:00</v>
        <stp/>
        <stp>WINJ24_F_0</stp>
        <stp>HOR</stp>
        <tr r="AO38" s="2"/>
        <tr r="E36" s="5"/>
      </tp>
      <tp t="s">
        <v>00:00:00</v>
        <stp/>
        <stp>WDOJ24_F_0</stp>
        <stp>HOR</stp>
        <tr r="E49" s="5"/>
        <tr r="AO51" s="2"/>
      </tp>
      <tp t="s">
        <v>NONE</v>
        <stp/>
        <stp>WING24_F_0</stp>
        <stp>EST</stp>
        <tr r="BX42" s="2"/>
        <tr r="AN40" s="5"/>
      </tp>
      <tp t="s">
        <v>NONE</v>
        <stp/>
        <stp>WDOG24_F_0</stp>
        <stp>EST</stp>
        <tr r="BX53" s="2"/>
        <tr r="AN51" s="5"/>
      </tp>
      <tp t="s">
        <v>17:59:53</v>
        <stp/>
        <stp>KLBN11_B_0</stp>
        <stp>HOR</stp>
        <tr r="E80" s="5"/>
        <tr r="AO82" s="2"/>
      </tp>
      <tp>
        <v>0</v>
        <stp/>
        <stp>WINM24_F_0</stp>
        <stp>OVD</stp>
        <tr r="BE40" s="2"/>
        <tr r="U38" s="5"/>
      </tp>
      <tp>
        <v>0</v>
        <stp/>
        <stp>WDOM24_F_0</stp>
        <stp>OVD</stp>
        <tr r="U47" s="5"/>
        <tr r="BE49" s="2"/>
      </tp>
      <tp>
        <v>0</v>
        <stp/>
        <stp>INDM24_F_0</stp>
        <stp>OCP</stp>
        <tr r="T43" s="5"/>
        <tr r="BD45" s="2"/>
      </tp>
      <tp>
        <v>0</v>
        <stp/>
        <stp>WDON24_F_0</stp>
        <stp>VARPTS</stp>
        <tr r="AW50" s="2"/>
        <tr r="M48" s="5"/>
      </tp>
      <tp>
        <v>0</v>
        <stp/>
        <stp>WDOM24_F_0</stp>
        <stp>VARPTS</stp>
        <tr r="M47" s="5"/>
        <tr r="AW49" s="2"/>
      </tp>
      <tp>
        <v>0</v>
        <stp/>
        <stp>WDOJ24_F_0</stp>
        <stp>VARPTS</stp>
        <tr r="AW51" s="2"/>
        <tr r="M49" s="5"/>
      </tp>
      <tp>
        <v>0</v>
        <stp/>
        <stp>WDOK24_F_0</stp>
        <stp>VARPTS</stp>
        <tr r="AW39" s="2"/>
        <tr r="M37" s="5"/>
      </tp>
      <tp>
        <v>0</v>
        <stp/>
        <stp>WDOH24_F_0</stp>
        <stp>VARPTS</stp>
        <tr r="AW52" s="2"/>
        <tr r="M50" s="5"/>
      </tp>
      <tp>
        <v>-11</v>
        <stp/>
        <stp>WDOFUT_F_0</stp>
        <stp>VARPTS</stp>
        <tr r="AW37" s="2"/>
        <tr r="M35" s="5"/>
      </tp>
      <tp>
        <v>0</v>
        <stp/>
        <stp>WDOG24_F_0</stp>
        <stp>VARPTS</stp>
        <tr r="AW53" s="2"/>
        <tr r="M51" s="5"/>
      </tp>
      <tp t="s">
        <v>-</v>
        <stp/>
        <stp>CIEL3_B_0</stp>
        <stp>DOBRAR</stp>
        <tr r="CH8" s="2"/>
        <tr r="AX6" s="5"/>
      </tp>
      <tp t="s">
        <v>-</v>
        <stp/>
        <stp>WDOFUTV_F_0</stp>
        <stp>RHO</stp>
        <tr r="AT45" s="5"/>
        <tr r="CD47" s="2"/>
      </tp>
      <tp>
        <v>0</v>
        <stp/>
        <stp>WDOX24_F_0</stp>
        <stp>VARPTS</stp>
        <tr r="AW56" s="2"/>
        <tr r="M54" s="5"/>
      </tp>
      <tp>
        <v>0</v>
        <stp/>
        <stp>WDOV24_F_0</stp>
        <stp>VARPTS</stp>
        <tr r="AW57" s="2"/>
        <tr r="M55" s="5"/>
      </tp>
      <tp t="s">
        <v>-</v>
        <stp/>
        <stp>VIVT3_B_0</stp>
        <stp>DOBRAR</stp>
        <tr r="CH9" s="2"/>
        <tr r="AX7" s="5"/>
      </tp>
      <tp>
        <v>0</v>
        <stp/>
        <stp>WDOU24_F_0</stp>
        <stp>VARPTS</stp>
        <tr r="AW55" s="2"/>
        <tr r="M53" s="5"/>
      </tp>
      <tp>
        <v>0</v>
        <stp/>
        <stp>WDOQ24_F_0</stp>
        <stp>VARPTS</stp>
        <tr r="AW54" s="2"/>
        <tr r="M52" s="5"/>
      </tp>
      <tp t="s">
        <v>-</v>
        <stp/>
        <stp>DOLPRO_#_0</stp>
        <stp>DOBRAR</stp>
        <tr r="AX44" s="5"/>
        <tr r="CH46" s="2"/>
      </tp>
      <tp t="s">
        <v>-</v>
        <stp/>
        <stp>JBSS3_B_0</stp>
        <stp>VEN</stp>
        <tr r="BU64" s="2"/>
        <tr r="AK62" s="5"/>
      </tp>
      <tp t="s">
        <v>14/10/2025</v>
        <stp/>
        <stp>GOAU4_B_0</stp>
        <stp>DAT</stp>
        <tr r="D17" s="5"/>
        <tr r="AN19" s="2"/>
      </tp>
      <tp t="s">
        <v>14/10/2025</v>
        <stp/>
        <stp>GMAT3_B_0</stp>
        <stp>DAT</stp>
        <tr r="D57" s="5"/>
        <tr r="AN59" s="2"/>
      </tp>
      <tp>
        <v>12.360000000000001</v>
        <stp/>
        <stp>TUPY3_B_0</stp>
        <stp>ULT</stp>
        <tr r="F79" s="5"/>
        <tr r="AP81" s="2"/>
      </tp>
      <tp>
        <v>0</v>
        <stp/>
        <stp>DOLPT_E_0</stp>
        <stp>NEG</stp>
        <tr r="AZ16" s="2"/>
        <tr r="P14" s="5"/>
      </tp>
      <tp>
        <v>0</v>
        <stp/>
        <stp>JBSS3_B_0</stp>
        <stp>VAR</stp>
        <tr r="AV64" s="2"/>
        <tr r="L62" s="5"/>
      </tp>
      <tp t="s">
        <v>14/10/2025</v>
        <stp/>
        <stp>BBAS3_B_0</stp>
        <stp>DAT</stp>
        <tr r="D12" s="5"/>
        <tr r="AN14" s="2"/>
      </tp>
      <tp>
        <v>0</v>
        <stp/>
        <stp>BRFS3_B_0</stp>
        <stp>CAB</stp>
        <tr r="AM31" s="5"/>
        <tr r="BW33" s="2"/>
      </tp>
      <tp t="s">
        <v>31/12/9999</v>
        <stp/>
        <stp>JBSS3_B_0</stp>
        <stp>VAL</stp>
        <tr r="BV64" s="2"/>
        <tr r="AL62" s="5"/>
      </tp>
      <tp t="s">
        <v>Aberto</v>
        <stp/>
        <stp>DOLFUT_F_0</stp>
        <stp>EST</stp>
        <tr r="AN13" s="5"/>
        <tr r="BX15" s="2"/>
      </tp>
      <tp>
        <v>12.16</v>
        <stp/>
        <stp>RECV3_B_0</stp>
        <stp>FEC</stp>
        <tr r="J63" s="2"/>
      </tp>
      <tp t="s">
        <v>14/10/2025</v>
        <stp/>
        <stp>PCAR3_B_0</stp>
        <stp>DAT</stp>
        <tr r="AN70" s="2"/>
        <tr r="D68" s="5"/>
      </tp>
      <tp>
        <v>0</v>
        <stp/>
        <stp>ITUB4_B_0</stp>
        <stp>PRT</stp>
        <tr r="L48" s="2"/>
        <tr r="BJ32" s="2"/>
        <tr r="Z30" s="5"/>
      </tp>
      <tp>
        <v>-0.21631644004944467</v>
        <stp/>
        <stp>VIVT3_B_0</stp>
        <stp>SEM</stp>
        <tr r="BM9" s="2"/>
        <tr r="AC7" s="5"/>
      </tp>
      <tp t="s">
        <v>14/10/2025</v>
        <stp/>
        <stp>BRAP4_B_0</stp>
        <stp>DAT</stp>
        <tr r="D28" s="5"/>
        <tr r="AN30" s="2"/>
      </tp>
      <tp>
        <v>273215468</v>
        <stp/>
        <stp>B3SA3_B_0</stp>
        <stp>VPJ</stp>
        <tr r="BL21" s="2"/>
        <tr r="AB19" s="5"/>
      </tp>
      <tp>
        <v>2729611</v>
        <stp/>
        <stp>GFSA3_B_0</stp>
        <stp>VPJ</stp>
        <tr r="BL22" s="2"/>
        <tr r="AB20" s="5"/>
      </tp>
      <tp>
        <v>14466759</v>
        <stp/>
        <stp>HBSA3_B_0</stp>
        <stp>VPJ</stp>
        <tr r="BL58" s="2"/>
        <tr r="AB56" s="5"/>
      </tp>
      <tp>
        <v>325237888</v>
        <stp/>
        <stp>ITSA4_B_0</stp>
        <stp>VPJ</stp>
        <tr r="BL31" s="2"/>
        <tr r="AB29" s="5"/>
      </tp>
      <tp t="s">
        <v>Aberto</v>
        <stp/>
        <stp>INDFUT_F_0</stp>
        <stp>EST</stp>
        <tr r="BX17" s="2"/>
        <tr r="AN15" s="5"/>
      </tp>
      <tp t="s">
        <v>-</v>
        <stp/>
        <stp>BRAP4_B_0</stp>
        <stp>VIVH</stp>
        <tr r="CI30" s="2"/>
        <tr r="AY28" s="5"/>
      </tp>
      <tp>
        <v>37472</v>
        <stp/>
        <stp>RCSL3_B_0</stp>
        <stp>VPJ</stp>
        <tr r="BL65" s="2"/>
        <tr r="AB63" s="5"/>
      </tp>
      <tp>
        <v>0</v>
        <stp/>
        <stp>JBSS3_B_0</stp>
        <stp>VOV</stp>
        <tr r="BG64" s="2"/>
        <tr r="W62" s="5"/>
      </tp>
      <tp>
        <v>0</v>
        <stp/>
        <stp>JBSS3_B_0</stp>
        <stp>VOC</stp>
        <tr r="BF64" s="2"/>
        <tr r="V62" s="5"/>
      </tp>
      <tp>
        <v>0</v>
        <stp/>
        <stp>JBSS3_B_0</stp>
        <stp>VOL</stp>
        <tr r="BC64" s="2"/>
        <tr r="S62" s="5"/>
      </tp>
      <tp>
        <v>0</v>
        <stp/>
        <stp>SMTO3_B_0</stp>
        <stp>QUL</stp>
        <tr r="Q64" s="5"/>
        <tr r="BA66" s="2"/>
      </tp>
      <tp>
        <v>32.96</v>
        <stp/>
        <stp>HAPV3_B_0</stp>
        <stp>ULT</stp>
        <tr r="K42" s="2"/>
      </tp>
      <tp t="s">
        <v>-</v>
        <stp/>
        <stp>JBSS3_B_0</stp>
        <stp>VIA</stp>
        <tr r="CF64" s="2"/>
        <tr r="AV62" s="5"/>
      </tp>
      <tp t="s">
        <v>-</v>
        <stp/>
        <stp>JBSS3_B_0</stp>
        <stp>VIB</stp>
        <tr r="CG64" s="2"/>
        <tr r="AW62" s="5"/>
      </tp>
      <tp>
        <v>0</v>
        <stp/>
        <stp>SMTO3_B_0</stp>
        <stp>QTE</stp>
        <tr r="AA64" s="5"/>
        <tr r="BK66" s="2"/>
      </tp>
      <tp>
        <v>1757400</v>
        <stp/>
        <stp>SMTO3_B_0</stp>
        <stp>QTT</stp>
        <tr r="R64" s="5"/>
        <tr r="BB66" s="2"/>
      </tp>
      <tp t="s">
        <v>-</v>
        <stp/>
        <stp>CMIG4_B_0</stp>
        <stp>IMPVT</stp>
        <tr r="BZ23" s="2"/>
        <tr r="AP21" s="5"/>
      </tp>
      <tp>
        <v>5.29</v>
        <stp/>
        <stp>RAPT4_B_0</stp>
        <stp>ULT</stp>
        <tr r="F74" s="5"/>
        <tr r="AP76" s="2"/>
      </tp>
      <tp>
        <v>0</v>
        <stp/>
        <stp>PETR4_B_0</stp>
        <stp>QTE</stp>
        <tr r="BK11" s="2"/>
        <tr r="AA9" s="5"/>
      </tp>
      <tp t="s">
        <v>-</v>
        <stp/>
        <stp>BRAP4_B_0</stp>
        <stp>VINT</stp>
        <tr r="CJ30" s="2"/>
        <tr r="AZ28" s="5"/>
      </tp>
      <tp>
        <v>0</v>
        <stp/>
        <stp>MRFG3_B_0</stp>
        <stp>CAB</stp>
        <tr r="BW68" s="2"/>
        <tr r="AM66" s="5"/>
      </tp>
      <tp>
        <v>28061200</v>
        <stp/>
        <stp>PETR4_B_0</stp>
        <stp>QTT</stp>
        <tr r="BB11" s="2"/>
        <tr r="R9" s="5"/>
      </tp>
      <tp>
        <v>0</v>
        <stp/>
        <stp>PETR4_B_0</stp>
        <stp>QUL</stp>
        <tr r="BA11" s="2"/>
        <tr r="Q9" s="5"/>
      </tp>
      <tp>
        <v>0</v>
        <stp/>
        <stp>ITUB4_B_0</stp>
        <stp>PEX</stp>
        <tr r="AU32" s="2"/>
        <tr r="K30" s="5"/>
      </tp>
      <tp>
        <v>1.72</v>
        <stp/>
        <stp>CVCB3_B_0</stp>
        <stp>FEC</stp>
        <tr r="J29" s="2"/>
      </tp>
      <tp t="s">
        <v>-</v>
        <stp/>
        <stp>GFSA3_B_0</stp>
        <stp>VEN</stp>
        <tr r="BU22" s="2"/>
        <tr r="AK20" s="5"/>
      </tp>
      <tp t="s">
        <v>-</v>
        <stp/>
        <stp>B3SA3_B_0</stp>
        <stp>VEN</stp>
        <tr r="BU21" s="2"/>
        <tr r="AK19" s="5"/>
      </tp>
      <tp t="s">
        <v>-</v>
        <stp/>
        <stp>ITSA4_B_0</stp>
        <stp>VEN</stp>
        <tr r="BU31" s="2"/>
        <tr r="AK29" s="5"/>
      </tp>
      <tp t="s">
        <v>-</v>
        <stp/>
        <stp>HBSA3_B_0</stp>
        <stp>VEN</stp>
        <tr r="BU58" s="2"/>
        <tr r="AK56" s="5"/>
      </tp>
      <tp t="s">
        <v>-</v>
        <stp/>
        <stp>RCSL3_B_0</stp>
        <stp>VIA</stp>
        <tr r="CF65" s="2"/>
        <tr r="AV63" s="5"/>
      </tp>
      <tp t="s">
        <v>-</v>
        <stp/>
        <stp>RCSL3_B_0</stp>
        <stp>VIB</stp>
        <tr r="AW63" s="5"/>
        <tr r="CG65" s="2"/>
      </tp>
      <tp t="s">
        <v>-</v>
        <stp/>
        <stp>RAIZ4_B_0</stp>
        <stp>BLACK</stp>
        <tr r="BY77" s="2"/>
        <tr r="AO75" s="5"/>
      </tp>
      <tp t="s">
        <v>-</v>
        <stp/>
        <stp>RAPT4_B_0</stp>
        <stp>BLACK</stp>
        <tr r="BY76" s="2"/>
        <tr r="AO74" s="5"/>
      </tp>
      <tp>
        <v>37472</v>
        <stp/>
        <stp>RCSL3_B_0</stp>
        <stp>VOL</stp>
        <tr r="BC65" s="2"/>
        <tr r="S63" s="5"/>
      </tp>
      <tp t="s">
        <v>17:59:07</v>
        <stp/>
        <stp>ARML3_B_0</stp>
        <stp>HOR</stp>
        <tr r="E78" s="5"/>
        <tr r="AO80" s="2"/>
      </tp>
      <tp t="s">
        <v>17:54:39</v>
        <stp/>
        <stp>CAML3_B_0</stp>
        <stp>HOR</stp>
        <tr r="E81" s="5"/>
        <tr r="AO83" s="2"/>
      </tp>
      <tp>
        <v>5000</v>
        <stp/>
        <stp>RCSL3_B_0</stp>
        <stp>VOC</stp>
        <tr r="BF65" s="2"/>
        <tr r="V63" s="5"/>
      </tp>
      <tp>
        <v>0</v>
        <stp/>
        <stp>YDUQ3_B_0</stp>
        <stp>PRT</stp>
        <tr r="L87" s="2"/>
      </tp>
      <tp>
        <v>0</v>
        <stp/>
        <stp>CRFB3_B_0</stp>
        <stp>CAB</stp>
        <tr r="AM61" s="5"/>
        <tr r="BW63" s="2"/>
      </tp>
      <tp>
        <v>0</v>
        <stp/>
        <stp>JBSS3_B_0</stp>
        <stp>VPJ</stp>
        <tr r="BL64" s="2"/>
        <tr r="AB62" s="5"/>
      </tp>
      <tp>
        <v>4800</v>
        <stp/>
        <stp>RCSL3_B_0</stp>
        <stp>VOV</stp>
        <tr r="BG65" s="2"/>
        <tr r="W63" s="5"/>
      </tp>
      <tp t="s">
        <v>Aberto</v>
        <stp/>
        <stp>WINFUT_F_0</stp>
        <stp>EST</stp>
        <tr r="BX36" s="2"/>
        <tr r="AN34" s="5"/>
      </tp>
      <tp t="s">
        <v>Aberto</v>
        <stp/>
        <stp>WDOFUT_F_0</stp>
        <stp>EST</stp>
        <tr r="BX37" s="2"/>
        <tr r="AN35" s="5"/>
      </tp>
      <tp>
        <v>3.8356164383561557</v>
        <stp/>
        <stp>HBSA3_B_0</stp>
        <stp>VAR</stp>
        <tr r="AV58" s="2"/>
        <tr r="L56" s="5"/>
      </tp>
      <tp>
        <v>7.0900000000000007</v>
        <stp/>
        <stp>KEPL3_B_0</stp>
        <stp>ULT</stp>
        <tr r="F71" s="5"/>
        <tr r="AP73" s="2"/>
      </tp>
      <tp>
        <v>9.0909090909088969E-2</v>
        <stp/>
        <stp>ITSA4_B_0</stp>
        <stp>VAR</stp>
        <tr r="AV31" s="2"/>
        <tr r="L29" s="5"/>
      </tp>
      <tp>
        <v>-1.2588512981904023</v>
        <stp/>
        <stp>B3SA3_B_0</stp>
        <stp>VAR</stp>
        <tr r="AV21" s="2"/>
        <tr r="L19" s="5"/>
      </tp>
      <tp>
        <v>15.65</v>
        <stp/>
        <stp>SLCE3_B_0</stp>
        <stp>FEC</stp>
        <tr r="J73" s="2"/>
        <tr r="AT79" s="2"/>
        <tr r="J77" s="5"/>
      </tp>
      <tp>
        <v>-0.59701492537313483</v>
        <stp/>
        <stp>GFSA3_B_0</stp>
        <stp>VAR</stp>
        <tr r="AV22" s="2"/>
        <tr r="L20" s="5"/>
      </tp>
      <tp t="s">
        <v>31/12/9999</v>
        <stp/>
        <stp>GFSA3_B_0</stp>
        <stp>VAL</stp>
        <tr r="BV22" s="2"/>
        <tr r="AL20" s="5"/>
      </tp>
      <tp t="s">
        <v>31/12/9999</v>
        <stp/>
        <stp>B3SA3_B_0</stp>
        <stp>VAL</stp>
        <tr r="BV21" s="2"/>
        <tr r="AL19" s="5"/>
      </tp>
      <tp t="s">
        <v>31/12/9999</v>
        <stp/>
        <stp>ITSA4_B_0</stp>
        <stp>VAL</stp>
        <tr r="BV31" s="2"/>
        <tr r="AL29" s="5"/>
      </tp>
      <tp>
        <v>-0.31948881789138117</v>
        <stp/>
        <stp>MRVE3_B_0</stp>
        <stp>SEM</stp>
        <tr r="BM18" s="2"/>
        <tr r="AC16" s="5"/>
      </tp>
      <tp t="s">
        <v>17:07:30</v>
        <stp/>
        <stp>VAMO3_B_0</stp>
        <stp>HOR</stp>
        <tr r="E72" s="5"/>
        <tr r="AO74" s="2"/>
      </tp>
      <tp t="s">
        <v>31/12/9999</v>
        <stp/>
        <stp>HBSA3_B_0</stp>
        <stp>VAL</stp>
        <tr r="BV58" s="2"/>
        <tr r="AL56" s="5"/>
      </tp>
      <tp>
        <v>17.02</v>
        <stp/>
        <stp>BBDC4_B_0</stp>
        <stp>ABE</stp>
        <tr r="G25" s="5"/>
        <tr r="AQ27" s="2"/>
      </tp>
      <tp>
        <v>100</v>
        <stp/>
        <stp>ITSA4_B_0</stp>
        <stp>VOV</stp>
        <tr r="BG31" s="2"/>
        <tr r="W29" s="5"/>
      </tp>
      <tp>
        <v>101500</v>
        <stp/>
        <stp>HBSA3_B_0</stp>
        <stp>VOV</stp>
        <tr r="BG58" s="2"/>
        <tr r="W56" s="5"/>
      </tp>
      <tp>
        <v>500</v>
        <stp/>
        <stp>GFSA3_B_0</stp>
        <stp>VOV</stp>
        <tr r="BG22" s="2"/>
        <tr r="W20" s="5"/>
      </tp>
      <tp>
        <v>400</v>
        <stp/>
        <stp>B3SA3_B_0</stp>
        <stp>VOV</stp>
        <tr r="BG21" s="2"/>
        <tr r="W19" s="5"/>
      </tp>
      <tp>
        <v>1000</v>
        <stp/>
        <stp>HBSA3_B_0</stp>
        <stp>VOC</stp>
        <tr r="BF58" s="2"/>
        <tr r="V56" s="5"/>
      </tp>
      <tp>
        <v>2729611</v>
        <stp/>
        <stp>GFSA3_B_0</stp>
        <stp>VOL</stp>
        <tr r="BC22" s="2"/>
        <tr r="S20" s="5"/>
      </tp>
      <tp>
        <v>273215468</v>
        <stp/>
        <stp>B3SA3_B_0</stp>
        <stp>VOL</stp>
        <tr r="BC21" s="2"/>
        <tr r="S19" s="5"/>
      </tp>
      <tp>
        <v>2000</v>
        <stp/>
        <stp>ITSA4_B_0</stp>
        <stp>VOC</stp>
        <tr r="BF31" s="2"/>
        <tr r="V29" s="5"/>
      </tp>
      <tp>
        <v>325237888</v>
        <stp/>
        <stp>ITSA4_B_0</stp>
        <stp>VOL</stp>
        <tr r="BC31" s="2"/>
        <tr r="S29" s="5"/>
      </tp>
      <tp>
        <v>19300</v>
        <stp/>
        <stp>B3SA3_B_0</stp>
        <stp>VOC</stp>
        <tr r="BF21" s="2"/>
        <tr r="V19" s="5"/>
      </tp>
      <tp>
        <v>14466759</v>
        <stp/>
        <stp>HBSA3_B_0</stp>
        <stp>VOL</stp>
        <tr r="BC58" s="2"/>
        <tr r="S56" s="5"/>
      </tp>
      <tp>
        <v>200</v>
        <stp/>
        <stp>GFSA3_B_0</stp>
        <stp>VOC</stp>
        <tr r="BF22" s="2"/>
        <tr r="V20" s="5"/>
      </tp>
      <tp t="s">
        <v>-</v>
        <stp/>
        <stp>DXCO3_B_0</stp>
        <stp>IMPVT</stp>
        <tr r="BZ75" s="2"/>
        <tr r="AP73" s="5"/>
      </tp>
      <tp t="s">
        <v>14/10/2025</v>
        <stp/>
        <stp>CSAN3_B_0</stp>
        <stp>DAT</stp>
        <tr r="D60" s="5"/>
        <tr r="AN62" s="2"/>
      </tp>
      <tp>
        <v>0</v>
        <stp/>
        <stp>IBOV_B_0</stp>
        <stp>CAB</stp>
        <tr r="BW6" s="2"/>
        <tr r="AM4" s="5"/>
      </tp>
      <tp t="s">
        <v>31/12/9999</v>
        <stp/>
        <stp>RCSL3_B_0</stp>
        <stp>VAL</stp>
        <tr r="BV65" s="2"/>
        <tr r="AL63" s="5"/>
      </tp>
      <tp>
        <v>60.514844816941995</v>
        <stp/>
        <stp>BBDC4_B_0</stp>
        <stp>ANO</stp>
        <tr r="BR27" s="2"/>
        <tr r="AH25" s="5"/>
      </tp>
      <tp>
        <v>21.1</v>
        <stp/>
        <stp>UGPA3_B_0</stp>
        <stp>ULT</stp>
        <tr r="K80" s="2"/>
      </tp>
      <tp>
        <v>-5.1612903225806495</v>
        <stp/>
        <stp>RCSL3_B_0</stp>
        <stp>VAR</stp>
        <tr r="AV65" s="2"/>
        <tr r="L63" s="5"/>
      </tp>
      <tp>
        <v>5.0200000000000005</v>
        <stp/>
        <stp>DXCO3_B_0</stp>
        <stp>FEC</stp>
        <tr r="AT75" s="2"/>
        <tr r="J73" s="5"/>
      </tp>
      <tp t="s">
        <v>14/10/2025</v>
        <stp/>
        <stp>ASAI3_B_0</stp>
        <stp>DAT</stp>
        <tr r="AN61" s="2"/>
        <tr r="D59" s="5"/>
      </tp>
      <tp t="s">
        <v>-</v>
        <stp/>
        <stp>HBSA3_B_0</stp>
        <stp>VIB</stp>
        <tr r="CG58" s="2"/>
        <tr r="AW56" s="5"/>
      </tp>
      <tp t="s">
        <v>-</v>
        <stp/>
        <stp>HBSA3_B_0</stp>
        <stp>VIA</stp>
        <tr r="CF58" s="2"/>
        <tr r="AV56" s="5"/>
      </tp>
      <tp t="s">
        <v>-</v>
        <stp/>
        <stp>ITSA4_B_0</stp>
        <stp>VIA</stp>
        <tr r="CF31" s="2"/>
        <tr r="AV29" s="5"/>
      </tp>
      <tp t="s">
        <v>-</v>
        <stp/>
        <stp>ITSA4_B_0</stp>
        <stp>VIB</stp>
        <tr r="CG31" s="2"/>
        <tr r="AW29" s="5"/>
      </tp>
      <tp t="s">
        <v>-</v>
        <stp/>
        <stp>B3SA3_B_0</stp>
        <stp>VIA</stp>
        <tr r="CF21" s="2"/>
        <tr r="AV19" s="5"/>
      </tp>
      <tp t="s">
        <v>-</v>
        <stp/>
        <stp>B3SA3_B_0</stp>
        <stp>VIB</stp>
        <tr r="CG21" s="2"/>
        <tr r="AW19" s="5"/>
      </tp>
      <tp t="s">
        <v>-</v>
        <stp/>
        <stp>GFSA3_B_0</stp>
        <stp>VIA</stp>
        <tr r="CF22" s="2"/>
        <tr r="AV20" s="5"/>
      </tp>
      <tp t="s">
        <v>-</v>
        <stp/>
        <stp>GFSA3_B_0</stp>
        <stp>VIB</stp>
        <tr r="CG22" s="2"/>
        <tr r="AW20" s="5"/>
      </tp>
      <tp>
        <v>21.380000000000003</v>
        <stp/>
        <stp>HYPE3_B_0</stp>
        <stp>ULT</stp>
        <tr r="K43" s="2"/>
      </tp>
      <tp t="s">
        <v>-</v>
        <stp/>
        <stp>RCSL3_B_0</stp>
        <stp>VEN</stp>
        <tr r="BU65" s="2"/>
        <tr r="AK63" s="5"/>
      </tp>
      <tp>
        <v>0</v>
        <stp/>
        <stp>BBDC4_B_0</stp>
        <stp>AJU</stp>
        <tr r="BH27" s="2"/>
        <tr r="X25" s="5"/>
      </tp>
      <tp>
        <v>0</v>
        <stp/>
        <stp>BBDC4_B_0</stp>
        <stp>AJA</stp>
        <tr r="BI27" s="2"/>
        <tr r="Y25" s="5"/>
      </tp>
      <tp t="s">
        <v>29/12/2024</v>
        <stp/>
        <stp>WDOU24_F_0</stp>
        <stp>VAL</stp>
        <tr r="BV55" s="2"/>
        <tr r="AL53" s="5"/>
      </tp>
      <tp>
        <v>0</v>
        <stp/>
        <stp>WDON24_F_0</stp>
        <stp>MAX</stp>
        <tr r="AR50" s="2"/>
        <tr r="H48" s="5"/>
      </tp>
      <tp t="s">
        <v>30/12/1899</v>
        <stp/>
        <stp>WING24_F_0</stp>
        <stp>DAT</stp>
        <tr r="D40" s="5"/>
        <tr r="AN42" s="2"/>
      </tp>
      <tp t="s">
        <v>30/12/1899</v>
        <stp/>
        <stp>WDOG24_F_0</stp>
        <stp>DAT</stp>
        <tr r="D51" s="5"/>
        <tr r="AN53" s="2"/>
      </tp>
      <tp>
        <v>0</v>
        <stp/>
        <stp>WDOU24_F_0</stp>
        <stp>VAR</stp>
        <tr r="L53" s="5"/>
        <tr r="AV55" s="2"/>
      </tp>
      <tp t="s">
        <v>29/12/2024</v>
        <stp/>
        <stp>WDOU24_F_0</stp>
        <stp>VEN</stp>
        <tr r="BU55" s="2"/>
        <tr r="AK53" s="5"/>
      </tp>
      <tp>
        <v>0</v>
        <stp/>
        <stp>WINM24_F_0</stp>
        <stp>NEG</stp>
        <tr r="AZ40" s="2"/>
        <tr r="P38" s="5"/>
      </tp>
      <tp>
        <v>0</v>
        <stp/>
        <stp>WDON24_F_0</stp>
        <stp>MED</stp>
        <tr r="AX50" s="2"/>
        <tr r="N48" s="5"/>
      </tp>
      <tp>
        <v>0</v>
        <stp/>
        <stp>WDOM24_F_0</stp>
        <stp>NEG</stp>
        <tr r="P47" s="5"/>
        <tr r="AZ49" s="2"/>
      </tp>
      <tp>
        <v>0</v>
        <stp/>
        <stp>WDON24_F_0</stp>
        <stp>MES</stp>
        <tr r="BN50" s="2"/>
        <tr r="AD48" s="5"/>
      </tp>
      <tp t="s">
        <v>-</v>
        <stp/>
        <stp>WDOQ24_F_0</stp>
        <stp>RHO</stp>
        <tr r="CD54" s="2"/>
        <tr r="AT52" s="5"/>
      </tp>
      <tp t="s">
        <v>-</v>
        <stp/>
        <stp>WINQ24_F_0</stp>
        <stp>RHO</stp>
        <tr r="CD41" s="2"/>
        <tr r="AT39" s="5"/>
      </tp>
      <tp>
        <v>0</v>
        <stp/>
        <stp>WDON24_F_0</stp>
        <stp>MIN</stp>
        <tr r="AS50" s="2"/>
        <tr r="I48" s="5"/>
      </tp>
      <tp t="s">
        <v>-</v>
        <stp/>
        <stp>WDOU24_F_0</stp>
        <stp>VIA</stp>
        <tr r="CF55" s="2"/>
        <tr r="AV53" s="5"/>
      </tp>
      <tp t="s">
        <v>-</v>
        <stp/>
        <stp>WDOU24_F_0</stp>
        <stp>VIB</stp>
        <tr r="AW53" s="5"/>
        <tr r="CG55" s="2"/>
      </tp>
      <tp>
        <v>0</v>
        <stp/>
        <stp>WDOU24_F_0</stp>
        <stp>VOL</stp>
        <tr r="BC55" s="2"/>
        <tr r="S53" s="5"/>
      </tp>
      <tp>
        <v>0</v>
        <stp/>
        <stp>WDOU24_F_0</stp>
        <stp>VOC</stp>
        <tr r="BF55" s="2"/>
        <tr r="V53" s="5"/>
      </tp>
      <tp>
        <v>0</v>
        <stp/>
        <stp>WDOU24_F_0</stp>
        <stp>VOV</stp>
        <tr r="W53" s="5"/>
        <tr r="BG55" s="2"/>
      </tp>
      <tp t="s">
        <v>00:00:00</v>
        <stp/>
        <stp>WDOK24_F_0</stp>
        <stp>HOR</stp>
        <tr r="AO39" s="2"/>
        <tr r="E37" s="5"/>
      </tp>
      <tp t="s">
        <v>-</v>
        <stp/>
        <stp>DOLPT_E_0</stp>
        <stp>VIVH</stp>
        <tr r="CI16" s="2"/>
        <tr r="AY14" s="5"/>
      </tp>
      <tp>
        <v>0</v>
        <stp/>
        <stp>WINV24_F_0</stp>
        <stp>ULT</stp>
        <tr r="F42" s="5"/>
        <tr r="AP44" s="2"/>
      </tp>
      <tp>
        <v>0</v>
        <stp/>
        <stp>WDOV24_F_0</stp>
        <stp>ULT</stp>
        <tr r="F55" s="5"/>
        <tr r="AP57" s="2"/>
      </tp>
      <tp>
        <v>0</v>
        <stp/>
        <stp>WDOU24_F_0</stp>
        <stp>VPJ</stp>
        <tr r="BL55" s="2"/>
        <tr r="AB53" s="5"/>
      </tp>
      <tp t="s">
        <v>-</v>
        <stp/>
        <stp>DOLPT_E_0</stp>
        <stp>VINT</stp>
        <tr r="CJ16" s="2"/>
        <tr r="AZ14" s="5"/>
      </tp>
      <tp>
        <v>0</v>
        <stp/>
        <stp>INDM24_F_0</stp>
        <stp>NEG</stp>
        <tr r="P43" s="5"/>
        <tr r="AZ45" s="2"/>
      </tp>
      <tp>
        <v>0</v>
        <stp/>
        <stp>WINM24_F_0</stp>
        <stp>VARPTS</stp>
        <tr r="AW40" s="2"/>
        <tr r="M38" s="5"/>
      </tp>
      <tp>
        <v>0</v>
        <stp/>
        <stp>WINJ24_F_0</stp>
        <stp>VARPTS</stp>
        <tr r="AW38" s="2"/>
        <tr r="M36" s="5"/>
      </tp>
      <tp>
        <v>-1.2591060347153682</v>
        <stp/>
        <stp>WDOFUTV_F_0</stp>
        <stp>SEM</stp>
        <tr r="AC45" s="5"/>
        <tr r="BM47" s="2"/>
      </tp>
      <tp>
        <v>-205</v>
        <stp/>
        <stp>WINFUT_F_0</stp>
        <stp>VARPTS</stp>
        <tr r="AW36" s="2"/>
        <tr r="M34" s="5"/>
      </tp>
      <tp>
        <v>0</v>
        <stp/>
        <stp>WING24_F_0</stp>
        <stp>VARPTS</stp>
        <tr r="AW42" s="2"/>
        <tr r="M40" s="5"/>
      </tp>
      <tp t="s">
        <v>-</v>
        <stp/>
        <stp>DOLFUT_F_0</stp>
        <stp>DOBRAR</stp>
        <tr r="CH15" s="2"/>
        <tr r="AX13" s="5"/>
      </tp>
      <tp>
        <v>0</v>
        <stp/>
        <stp>WINZ24_F_0</stp>
        <stp>VARPTS</stp>
        <tr r="AW43" s="2"/>
        <tr r="M41" s="5"/>
      </tp>
      <tp>
        <v>0</v>
        <stp/>
        <stp>WINV24_F_0</stp>
        <stp>VARPTS</stp>
        <tr r="AW44" s="2"/>
        <tr r="M42" s="5"/>
      </tp>
      <tp>
        <v>0</v>
        <stp/>
        <stp>WINQ24_F_0</stp>
        <stp>VARPTS</stp>
        <tr r="AW41" s="2"/>
        <tr r="M39" s="5"/>
      </tp>
      <tp t="s">
        <v>-</v>
        <stp/>
        <stp>DOLPRO_#_0</stp>
        <stp>GAMA</stp>
        <tr r="AR44" s="5"/>
        <tr r="CB46" s="2"/>
      </tp>
      <tp>
        <v>-9.0747782002534798</v>
        <stp/>
        <stp>RENT3_B_0</stp>
        <stp>TRIM</stp>
        <tr r="BS24" s="2"/>
        <tr r="AI22" s="5"/>
      </tp>
      <tp>
        <v>31189</v>
        <stp/>
        <stp>PETR4_B_0</stp>
        <stp>NEG</stp>
        <tr r="AZ11" s="2"/>
        <tr r="P9" s="5"/>
      </tp>
      <tp>
        <v>2.093023255813971</v>
        <stp/>
        <stp>MGLU3_B_0</stp>
        <stp>VAR</stp>
        <tr r="AV35" s="2"/>
        <tr r="L33" s="5"/>
      </tp>
      <tp>
        <v>37.72</v>
        <stp/>
        <stp>ITUB4_B_0</stp>
        <stp>OVD</stp>
        <tr r="BE32" s="2"/>
        <tr r="U30" s="5"/>
      </tp>
      <tp t="s">
        <v>31/12/9999</v>
        <stp/>
        <stp>MGLU3_B_0</stp>
        <stp>VAL</stp>
        <tr r="BV35" s="2"/>
        <tr r="AL33" s="5"/>
      </tp>
      <tp t="s">
        <v>-</v>
        <stp/>
        <stp>VAMO3_B_0</stp>
        <stp>VINT</stp>
        <tr r="CJ74" s="2"/>
        <tr r="AZ72" s="5"/>
      </tp>
      <tp>
        <v>1154251338</v>
        <stp/>
        <stp>VALE3_B_0</stp>
        <stp>VPJ</stp>
        <tr r="BL12" s="2"/>
        <tr r="AB10" s="5"/>
      </tp>
      <tp>
        <v>-5.2245377164661022</v>
        <stp/>
        <stp>VIVT3_B_0</stp>
        <stp>TRIM</stp>
        <tr r="BS9" s="2"/>
        <tr r="AI7" s="5"/>
      </tp>
      <tp t="s">
        <v>-</v>
        <stp/>
        <stp>GFSA3_B_0</stp>
        <stp>DELTA</stp>
        <tr r="CA22" s="2"/>
        <tr r="AQ20" s="5"/>
      </tp>
      <tp t="s">
        <v>-</v>
        <stp/>
        <stp>BBDC4_B_0</stp>
        <stp>VEXT</stp>
        <tr r="BA25" s="5"/>
        <tr r="CK27" s="2"/>
      </tp>
      <tp t="s">
        <v>-</v>
        <stp/>
        <stp>SMTO3_B_0</stp>
        <stp>VINT</stp>
        <tr r="AZ64" s="5"/>
        <tr r="CJ66" s="2"/>
      </tp>
      <tp t="s">
        <v>-</v>
        <stp/>
        <stp>MGLU3_B_0</stp>
        <stp>VEN</stp>
        <tr r="BU35" s="2"/>
        <tr r="AK33" s="5"/>
      </tp>
      <tp>
        <v>-13.983739837398378</v>
        <stp/>
        <stp>RAPT4_B_0</stp>
        <stp>TRIM</stp>
        <tr r="BS76" s="2"/>
        <tr r="AI74" s="5"/>
      </tp>
      <tp>
        <v>7.4300000000000006</v>
        <stp/>
        <stp>ECOR3_B_0</stp>
        <stp>ULT</stp>
        <tr r="F5" s="5"/>
        <tr r="AP7" s="2"/>
      </tp>
      <tp>
        <v>40.21</v>
        <stp/>
        <stp>RDOR3_B_0</stp>
        <stp>ULT</stp>
        <tr r="K68" s="2"/>
      </tp>
      <tp>
        <v>1.1494252873563229</v>
        <stp/>
        <stp>RAIZ4_B_0</stp>
        <stp>SEM</stp>
        <tr r="BM77" s="2"/>
        <tr r="AC75" s="5"/>
      </tp>
      <tp t="s">
        <v>-</v>
        <stp/>
        <stp>DXCO3_B_0</stp>
        <stp>VIVH</stp>
        <tr r="CI75" s="2"/>
        <tr r="AY73" s="5"/>
      </tp>
      <tp>
        <v>23.790000000000003</v>
        <stp/>
        <stp>ALOS3_B_0</stp>
        <stp>ULT</stp>
        <tr r="K6" s="2"/>
      </tp>
      <tp t="s">
        <v>-</v>
        <stp/>
        <stp>MGLU3_B_0</stp>
        <stp>VIB</stp>
        <tr r="CG35" s="2"/>
        <tr r="AW33" s="5"/>
      </tp>
      <tp t="s">
        <v>-</v>
        <stp/>
        <stp>MGLU3_B_0</stp>
        <stp>VIA</stp>
        <tr r="CF35" s="2"/>
        <tr r="AV33" s="5"/>
      </tp>
      <tp>
        <v>3887852</v>
        <stp/>
        <stp>JALL3_B_0</stp>
        <stp>VPJ</stp>
        <tr r="BL69" s="2"/>
        <tr r="AB67" s="5"/>
      </tp>
      <tp>
        <v>300</v>
        <stp/>
        <stp>MGLU3_B_0</stp>
        <stp>VOV</stp>
        <tr r="BG35" s="2"/>
        <tr r="W33" s="5"/>
      </tp>
      <tp>
        <v>200</v>
        <stp/>
        <stp>MGLU3_B_0</stp>
        <stp>VOC</stp>
        <tr r="BF35" s="2"/>
        <tr r="V33" s="5"/>
      </tp>
      <tp t="s">
        <v>-</v>
        <stp/>
        <stp>AGRO3_B_0</stp>
        <stp>VIVH</stp>
        <tr r="CI71" s="2"/>
        <tr r="AY69" s="5"/>
      </tp>
      <tp>
        <v>120511967</v>
        <stp/>
        <stp>MGLU3_B_0</stp>
        <stp>VOL</stp>
        <tr r="BC35" s="2"/>
        <tr r="S33" s="5"/>
      </tp>
      <tp t="s">
        <v>-</v>
        <stp/>
        <stp>GMAT3_B_0</stp>
        <stp>DELTA</stp>
        <tr r="AQ57" s="5"/>
        <tr r="CA59" s="2"/>
      </tp>
      <tp t="s">
        <v>-</v>
        <stp/>
        <stp>DXCO3_B_0</stp>
        <stp>VINT</stp>
        <tr r="CJ75" s="2"/>
        <tr r="AZ73" s="5"/>
      </tp>
      <tp t="s">
        <v>31/12/9999</v>
        <stp/>
        <stp>VALE3_B_0</stp>
        <stp>VAL</stp>
        <tr r="BV12" s="2"/>
        <tr r="AL10" s="5"/>
      </tp>
      <tp t="s">
        <v>-</v>
        <stp/>
        <stp>CMIG4_B_0</stp>
        <stp>GAMA</stp>
        <tr r="CB23" s="2"/>
        <tr r="AR21" s="5"/>
      </tp>
      <tp>
        <v>6.750094804702317</v>
        <stp/>
        <stp>MDIA3_B_0</stp>
        <stp>SEM</stp>
        <tr r="BM78" s="2"/>
        <tr r="AC76" s="5"/>
      </tp>
      <tp>
        <v>0</v>
        <stp/>
        <stp>VALE3_B_0</stp>
        <stp>VAR</stp>
        <tr r="AV12" s="2"/>
        <tr r="L10" s="5"/>
      </tp>
      <tp>
        <v>0</v>
        <stp/>
        <stp>DOLPT_E_0</stp>
        <stp>QTT</stp>
        <tr r="BB16" s="2"/>
        <tr r="R14" s="5"/>
      </tp>
      <tp>
        <v>0</v>
        <stp/>
        <stp>DOLPT_E_0</stp>
        <stp>QTE</stp>
        <tr r="BK16" s="2"/>
        <tr r="AA14" s="5"/>
      </tp>
      <tp t="s">
        <v>-</v>
        <stp/>
        <stp>JALL3_B_0</stp>
        <stp>VIA</stp>
        <tr r="CF69" s="2"/>
        <tr r="AV67" s="5"/>
      </tp>
      <tp t="s">
        <v>-</v>
        <stp/>
        <stp>JALL3_B_0</stp>
        <stp>VIB</stp>
        <tr r="CG69" s="2"/>
        <tr r="AW67" s="5"/>
      </tp>
      <tp>
        <v>120511967</v>
        <stp/>
        <stp>MGLU3_B_0</stp>
        <stp>VPJ</stp>
        <tr r="BL35" s="2"/>
        <tr r="AB33" s="5"/>
      </tp>
      <tp>
        <v>0</v>
        <stp/>
        <stp>DOLPT_E_0</stp>
        <stp>QUL</stp>
        <tr r="BA16" s="2"/>
        <tr r="Q14" s="5"/>
      </tp>
      <tp t="s">
        <v>-</v>
        <stp/>
        <stp>AGRO3_B_0</stp>
        <stp>VINT</stp>
        <tr r="CJ71" s="2"/>
        <tr r="AZ69" s="5"/>
      </tp>
      <tp>
        <v>1.4191106906338729</v>
        <stp/>
        <stp>CMIG4_B_0</stp>
        <stp>SEM</stp>
        <tr r="BM23" s="2"/>
        <tr r="AC21" s="5"/>
      </tp>
      <tp t="s">
        <v>-</v>
        <stp/>
        <stp>JALL3_B_0</stp>
        <stp>BLACK</stp>
        <tr r="AO67" s="5"/>
        <tr r="BY69" s="2"/>
      </tp>
      <tp>
        <v>300</v>
        <stp/>
        <stp>JALL3_B_0</stp>
        <stp>VOV</stp>
        <tr r="W67" s="5"/>
        <tr r="BG69" s="2"/>
      </tp>
      <tp>
        <v>15600</v>
        <stp/>
        <stp>JALL3_B_0</stp>
        <stp>VOC</stp>
        <tr r="V67" s="5"/>
        <tr r="BF69" s="2"/>
      </tp>
      <tp>
        <v>-10.791366906474821</v>
        <stp/>
        <stp>GMAT3_B_0</stp>
        <stp>TRIM</stp>
        <tr r="BS59" s="2"/>
        <tr r="AI57" s="5"/>
      </tp>
      <tp>
        <v>3887852</v>
        <stp/>
        <stp>JALL3_B_0</stp>
        <stp>VOL</stp>
        <tr r="S67" s="5"/>
        <tr r="BC69" s="2"/>
      </tp>
      <tp t="s">
        <v>-</v>
        <stp/>
        <stp>VALE3_B_0</stp>
        <stp>VEN</stp>
        <tr r="BU12" s="2"/>
        <tr r="AK10" s="5"/>
      </tp>
      <tp t="s">
        <v>17:06:00</v>
        <stp/>
        <stp>AGRO3_B_0</stp>
        <stp>HOR</stp>
        <tr r="E69" s="5"/>
        <tr r="AO71" s="2"/>
      </tp>
      <tp t="s">
        <v>-</v>
        <stp/>
        <stp>ITUB4_B_0</stp>
        <stp>THETA</stp>
        <tr r="CC32" s="2"/>
        <tr r="AS30" s="5"/>
      </tp>
      <tp t="s">
        <v>-</v>
        <stp/>
        <stp>ITSA4_B_0</stp>
        <stp>THETA</stp>
        <tr r="CC31" s="2"/>
        <tr r="AS29" s="5"/>
      </tp>
      <tp>
        <v>37.29</v>
        <stp/>
        <stp>ITUB4_B_0</stp>
        <stp>OCP</stp>
        <tr r="BD32" s="2"/>
        <tr r="T30" s="5"/>
      </tp>
      <tp t="s">
        <v>-</v>
        <stp/>
        <stp>JBSS3_B_0</stp>
        <stp>BLACK</stp>
        <tr r="BY64" s="2"/>
        <tr r="AO62" s="5"/>
      </tp>
      <tp t="s">
        <v>-</v>
        <stp/>
        <stp>BBDC4_B_0</stp>
        <stp>VEGA</stp>
        <tr r="CE27" s="2"/>
        <tr r="AU25" s="5"/>
      </tp>
      <tp t="s">
        <v>-</v>
        <stp/>
        <stp>VALE3_B_0</stp>
        <stp>VIA</stp>
        <tr r="CF12" s="2"/>
        <tr r="AV10" s="5"/>
      </tp>
      <tp t="s">
        <v>-</v>
        <stp/>
        <stp>VALE3_B_0</stp>
        <stp>VIB</stp>
        <tr r="CG12" s="2"/>
        <tr r="AW10" s="5"/>
      </tp>
      <tp>
        <v>-0.38461538461537642</v>
        <stp/>
        <stp>JALL3_B_0</stp>
        <stp>VAR</stp>
        <tr r="L67" s="5"/>
        <tr r="AV69" s="2"/>
      </tp>
      <tp t="s">
        <v>-</v>
        <stp/>
        <stp>MRFG3_B_0</stp>
        <stp>GAMA</stp>
        <tr r="AR66" s="5"/>
        <tr r="CB68" s="2"/>
      </tp>
      <tp t="s">
        <v>31/12/9999</v>
        <stp/>
        <stp>JALL3_B_0</stp>
        <stp>VAL</stp>
        <tr r="BV69" s="2"/>
        <tr r="AL67" s="5"/>
      </tp>
      <tp t="s">
        <v>-</v>
        <stp/>
        <stp>VAMO3_B_0</stp>
        <stp>VIVH</stp>
        <tr r="CI74" s="2"/>
        <tr r="AY72" s="5"/>
      </tp>
      <tp>
        <v>1154251338</v>
        <stp/>
        <stp>VALE3_B_0</stp>
        <stp>VOL</stp>
        <tr r="BC12" s="2"/>
        <tr r="S10" s="5"/>
      </tp>
      <tp t="s">
        <v>17:35:37</v>
        <stp/>
        <stp>CYRE3_B_0</stp>
        <stp>HOR</stp>
        <tr r="E26" s="5"/>
        <tr r="AO28" s="2"/>
      </tp>
      <tp>
        <v>100</v>
        <stp/>
        <stp>VALE3_B_0</stp>
        <stp>VOC</stp>
        <tr r="BF12" s="2"/>
        <tr r="V10" s="5"/>
      </tp>
      <tp>
        <v>5058</v>
        <stp/>
        <stp>SMTO3_B_0</stp>
        <stp>NEG</stp>
        <tr r="P64" s="5"/>
        <tr r="AZ66" s="2"/>
      </tp>
      <tp>
        <v>800</v>
        <stp/>
        <stp>VALE3_B_0</stp>
        <stp>VOV</stp>
        <tr r="BG12" s="2"/>
        <tr r="W10" s="5"/>
      </tp>
      <tp>
        <v>9.4117647058823604</v>
        <stp/>
        <stp>USIM5_B_0</stp>
        <stp>SEM</stp>
        <tr r="BM29" s="2"/>
        <tr r="AC27" s="5"/>
      </tp>
      <tp t="s">
        <v>-</v>
        <stp/>
        <stp>SMTO3_B_0</stp>
        <stp>VIVH</stp>
        <tr r="AY64" s="5"/>
        <tr r="CI66" s="2"/>
      </tp>
      <tp>
        <v>-1.0302640051513208</v>
        <stp/>
        <stp>RAIL3_B_0</stp>
        <stp>SEM</stp>
        <tr r="BM60" s="2"/>
        <tr r="AC58" s="5"/>
      </tp>
      <tp t="s">
        <v>-</v>
        <stp/>
        <stp>JALL3_B_0</stp>
        <stp>VEN</stp>
        <tr r="AK67" s="5"/>
        <tr r="BU69" s="2"/>
      </tp>
      <tp t="s">
        <v>29/12/2024</v>
        <stp/>
        <stp>WDOJ24_F_0</stp>
        <stp>VAL</stp>
        <tr r="BV51" s="2"/>
        <tr r="AL49" s="5"/>
      </tp>
      <tp t="s">
        <v>17/04/2024</v>
        <stp/>
        <stp>WINJ24_F_0</stp>
        <stp>VAL</stp>
        <tr r="BV38" s="2"/>
        <tr r="AL36" s="5"/>
      </tp>
      <tp>
        <v>0</v>
        <stp/>
        <stp>WINJ24_F_0</stp>
        <stp>VAR</stp>
        <tr r="AV38" s="2"/>
        <tr r="L36" s="5"/>
      </tp>
      <tp>
        <v>0</v>
        <stp/>
        <stp>WDOQ24_F_0</stp>
        <stp>MAX</stp>
        <tr r="AR54" s="2"/>
        <tr r="H52" s="5"/>
      </tp>
      <tp t="s">
        <v>30/12/1899</v>
        <stp/>
        <stp>WDOX24_F_0</stp>
        <stp>DAT</stp>
        <tr r="D54" s="5"/>
        <tr r="AN56" s="2"/>
      </tp>
      <tp>
        <v>0</v>
        <stp/>
        <stp>WINQ24_F_0</stp>
        <stp>MAX</stp>
        <tr r="AR41" s="2"/>
        <tr r="H39" s="5"/>
      </tp>
      <tp>
        <v>0</v>
        <stp/>
        <stp>WDOJ24_F_0</stp>
        <stp>VAR</stp>
        <tr r="AV51" s="2"/>
        <tr r="L49" s="5"/>
      </tp>
      <tp>
        <v>0</v>
        <stp/>
        <stp>WINZ24_F_0</stp>
        <stp>FEC</stp>
        <tr r="AT43" s="2"/>
        <tr r="J41" s="5"/>
      </tp>
      <tp t="s">
        <v>29/12/2024</v>
        <stp/>
        <stp>WDOJ24_F_0</stp>
        <stp>VEN</stp>
        <tr r="BU51" s="2"/>
        <tr r="AK49" s="5"/>
      </tp>
      <tp>
        <v>0</v>
        <stp/>
        <stp>WINQ24_F_0</stp>
        <stp>MED</stp>
        <tr r="AX41" s="2"/>
        <tr r="N39" s="5"/>
      </tp>
      <tp>
        <v>0</v>
        <stp/>
        <stp>WDOQ24_F_0</stp>
        <stp>MED</stp>
        <tr r="AX54" s="2"/>
        <tr r="N52" s="5"/>
      </tp>
      <tp t="s">
        <v>17/04/2024</v>
        <stp/>
        <stp>WINJ24_F_0</stp>
        <stp>VEN</stp>
        <tr r="BU38" s="2"/>
        <tr r="AK36" s="5"/>
      </tp>
      <tp>
        <v>0</v>
        <stp/>
        <stp>WINQ24_F_0</stp>
        <stp>MES</stp>
        <tr r="BN41" s="2"/>
        <tr r="AD39" s="5"/>
      </tp>
      <tp>
        <v>0</v>
        <stp/>
        <stp>WDOQ24_F_0</stp>
        <stp>MES</stp>
        <tr r="BN54" s="2"/>
        <tr r="AD52" s="5"/>
      </tp>
      <tp>
        <v>0</v>
        <stp/>
        <stp>INDM24_F_0</stp>
        <stp>QTE</stp>
        <tr r="AA43" s="5"/>
        <tr r="BK45" s="2"/>
      </tp>
      <tp>
        <v>0</v>
        <stp/>
        <stp>INDM24_F_0</stp>
        <stp>QTT</stp>
        <tr r="R43" s="5"/>
        <tr r="BB45" s="2"/>
      </tp>
      <tp>
        <v>0</v>
        <stp/>
        <stp>INDM24_F_0</stp>
        <stp>QUL</stp>
        <tr r="BA45" s="2"/>
        <tr r="Q43" s="5"/>
      </tp>
      <tp t="s">
        <v>-</v>
        <stp/>
        <stp>WDON24_F_0</stp>
        <stp>RHO</stp>
        <tr r="CD50" s="2"/>
        <tr r="AT48" s="5"/>
      </tp>
      <tp t="s">
        <v>-</v>
        <stp/>
        <stp>WINJ24_F_0</stp>
        <stp>VIA</stp>
        <tr r="CF38" s="2"/>
        <tr r="AV36" s="5"/>
      </tp>
      <tp>
        <v>0</v>
        <stp/>
        <stp>WDOQ24_F_0</stp>
        <stp>MIN</stp>
        <tr r="AS54" s="2"/>
        <tr r="I52" s="5"/>
      </tp>
      <tp t="s">
        <v>-</v>
        <stp/>
        <stp>WINJ24_F_0</stp>
        <stp>VIB</stp>
        <tr r="CG38" s="2"/>
        <tr r="AW36" s="5"/>
      </tp>
      <tp t="s">
        <v>-</v>
        <stp/>
        <stp>WDOJ24_F_0</stp>
        <stp>VIA</stp>
        <tr r="CF51" s="2"/>
        <tr r="AV49" s="5"/>
      </tp>
      <tp t="s">
        <v>-</v>
        <stp/>
        <stp>WDOJ24_F_0</stp>
        <stp>VIB</stp>
        <tr r="CG51" s="2"/>
        <tr r="AW49" s="5"/>
      </tp>
      <tp>
        <v>0</v>
        <stp/>
        <stp>WINQ24_F_0</stp>
        <stp>MIN</stp>
        <tr r="AS41" s="2"/>
        <tr r="I39" s="5"/>
      </tp>
      <tp>
        <v>0</v>
        <stp/>
        <stp>WDOJ24_F_0</stp>
        <stp>VOL</stp>
        <tr r="BC51" s="2"/>
        <tr r="S49" s="5"/>
      </tp>
      <tp>
        <v>0</v>
        <stp/>
        <stp>WINJ24_F_0</stp>
        <stp>VOC</stp>
        <tr r="BF38" s="2"/>
        <tr r="V36" s="5"/>
      </tp>
      <tp>
        <v>72082340</v>
        <stp/>
        <stp>KLBN11_B_0</stp>
        <stp>VPJ</stp>
        <tr r="BL82" s="2"/>
        <tr r="AB80" s="5"/>
      </tp>
      <tp>
        <v>0</v>
        <stp/>
        <stp>WINJ24_F_0</stp>
        <stp>VOL</stp>
        <tr r="BC38" s="2"/>
        <tr r="S36" s="5"/>
      </tp>
      <tp>
        <v>0</v>
        <stp/>
        <stp>WDOJ24_F_0</stp>
        <stp>VOC</stp>
        <tr r="BF51" s="2"/>
        <tr r="V49" s="5"/>
      </tp>
      <tp>
        <v>0</v>
        <stp/>
        <stp>WINJ24_F_0</stp>
        <stp>VOV</stp>
        <tr r="W36" s="5"/>
        <tr r="BG38" s="2"/>
      </tp>
      <tp>
        <v>0</v>
        <stp/>
        <stp>WDOJ24_F_0</stp>
        <stp>VOV</stp>
        <tr r="BG51" s="2"/>
        <tr r="W49" s="5"/>
      </tp>
      <tp>
        <v>400</v>
        <stp/>
        <stp>KLBN11_B_0</stp>
        <stp>VOC</stp>
        <tr r="BF82" s="2"/>
        <tr r="V80" s="5"/>
      </tp>
      <tp>
        <v>0</v>
        <stp/>
        <stp>WDOJ24_F_0</stp>
        <stp>VPJ</stp>
        <tr r="BL51" s="2"/>
        <tr r="AB49" s="5"/>
      </tp>
      <tp>
        <v>0</v>
        <stp/>
        <stp>WINJ24_F_0</stp>
        <stp>VPJ</stp>
        <tr r="BL38" s="2"/>
        <tr r="AB36" s="5"/>
      </tp>
      <tp>
        <v>72082340</v>
        <stp/>
        <stp>KLBN11_B_0</stp>
        <stp>VOL</stp>
        <tr r="BC82" s="2"/>
        <tr r="S80" s="5"/>
      </tp>
      <tp>
        <v>900</v>
        <stp/>
        <stp>KLBN11_B_0</stp>
        <stp>VOV</stp>
        <tr r="BG82" s="2"/>
        <tr r="W80" s="5"/>
      </tp>
      <tp t="s">
        <v>-</v>
        <stp/>
        <stp>KLBN11_B_0</stp>
        <stp>VIA</stp>
        <tr r="CF82" s="2"/>
        <tr r="AV80" s="5"/>
      </tp>
      <tp t="s">
        <v>-</v>
        <stp/>
        <stp>KLBN11_B_0</stp>
        <stp>VIB</stp>
        <tr r="CG82" s="2"/>
        <tr r="AW80" s="5"/>
      </tp>
      <tp>
        <v>0</v>
        <stp/>
        <stp>WINM24_F_0</stp>
        <stp>QTE</stp>
        <tr r="BK40" s="2"/>
        <tr r="AA38" s="5"/>
      </tp>
      <tp>
        <v>0</v>
        <stp/>
        <stp>WDOM24_F_0</stp>
        <stp>QTE</stp>
        <tr r="BK49" s="2"/>
        <tr r="AA47" s="5"/>
      </tp>
      <tp>
        <v>0</v>
        <stp/>
        <stp>WINM24_F_0</stp>
        <stp>QTT</stp>
        <tr r="R38" s="5"/>
        <tr r="BB40" s="2"/>
      </tp>
      <tp>
        <v>0</v>
        <stp/>
        <stp>WDOM24_F_0</stp>
        <stp>QTT</stp>
        <tr r="R47" s="5"/>
        <tr r="BB49" s="2"/>
      </tp>
      <tp>
        <v>0</v>
        <stp/>
        <stp>WDOM24_F_0</stp>
        <stp>QUL</stp>
        <tr r="Q47" s="5"/>
        <tr r="BA49" s="2"/>
      </tp>
      <tp>
        <v>0</v>
        <stp/>
        <stp>WINM24_F_0</stp>
        <stp>QUL</stp>
        <tr r="BA40" s="2"/>
        <tr r="Q38" s="5"/>
      </tp>
      <tp t="s">
        <v>-</v>
        <stp/>
        <stp>KLBN11_B_0</stp>
        <stp>VEN</stp>
        <tr r="BU82" s="2"/>
        <tr r="AK80" s="5"/>
      </tp>
      <tp t="s">
        <v>31/12/9999</v>
        <stp/>
        <stp>KLBN11_B_0</stp>
        <stp>VAL</stp>
        <tr r="BV82" s="2"/>
        <tr r="AL80" s="5"/>
      </tp>
      <tp>
        <v>-0.39954337899543541</v>
        <stp/>
        <stp>KLBN11_B_0</stp>
        <stp>VAR</stp>
        <tr r="AV82" s="2"/>
        <tr r="L80" s="5"/>
      </tp>
      <tp>
        <v>-0.21999999999999886</v>
        <stp/>
        <stp>SUZB3_B_0</stp>
        <stp>VARPTS</stp>
        <tr r="AW25" s="2"/>
        <tr r="M23" s="5"/>
      </tp>
      <tp>
        <v>-0.10999999999999943</v>
        <stp/>
        <stp>TUPY3_B_0</stp>
        <stp>VARPTS</stp>
        <tr r="AW81" s="2"/>
        <tr r="M79" s="5"/>
      </tp>
      <tp t="s">
        <v>-</v>
        <stp/>
        <stp>CRFB3_B_0</stp>
        <stp>VEXT</stp>
        <tr r="BA61" s="5"/>
        <tr r="CK63" s="2"/>
      </tp>
      <tp t="s">
        <v>-</v>
        <stp/>
        <stp>LREN3_B_0</stp>
        <stp>VIVH</stp>
        <tr r="CI34" s="2"/>
        <tr r="AY32" s="5"/>
      </tp>
      <tp t="s">
        <v>-</v>
        <stp/>
        <stp>TTEN3_B_0</stp>
        <stp>VINT</stp>
        <tr r="CJ84" s="2"/>
        <tr r="AZ82" s="5"/>
      </tp>
      <tp>
        <v>0</v>
        <stp/>
        <stp>ARZZ3_B_0</stp>
        <stp>ANO</stp>
        <tr r="BR72" s="2"/>
        <tr r="AH70" s="5"/>
      </tp>
      <tp>
        <v>32.33</v>
        <stp/>
        <stp>VIVT3_B_0</stp>
        <stp>MAX</stp>
        <tr r="AR9" s="2"/>
        <tr r="H7" s="5"/>
      </tp>
      <tp>
        <v>0</v>
        <stp/>
        <stp>DOLPT_E_0</stp>
        <stp>PEX</stp>
        <tr r="AU16" s="2"/>
        <tr r="K14" s="5"/>
      </tp>
      <tp t="s">
        <v>-</v>
        <stp/>
        <stp>RAIZ4_B_0</stp>
        <stp>RHO</stp>
        <tr r="CD77" s="2"/>
        <tr r="AT75" s="5"/>
      </tp>
      <tp>
        <v>0</v>
        <stp/>
        <stp>ARZZ3_B_0</stp>
        <stp>AJU</stp>
        <tr r="BH72" s="2"/>
        <tr r="X70" s="5"/>
      </tp>
      <tp>
        <v>0</v>
        <stp/>
        <stp>ARZZ3_B_0</stp>
        <stp>AJA</stp>
        <tr r="BI72" s="2"/>
        <tr r="Y70" s="5"/>
      </tp>
      <tp>
        <v>32.20080988500122</v>
        <stp/>
        <stp>VIVT3_B_0</stp>
        <stp>MED</stp>
        <tr r="AX9" s="2"/>
        <tr r="N7" s="5"/>
      </tp>
      <tp>
        <v>30.05</v>
        <stp/>
        <stp>PETR4_B_0</stp>
        <stp>OCP</stp>
        <tr r="BD11" s="2"/>
        <tr r="T9" s="5"/>
      </tp>
      <tp>
        <v>-5.2245377164661022</v>
        <stp/>
        <stp>VIVT3_B_0</stp>
        <stp>MES</stp>
        <tr r="BN9" s="2"/>
        <tr r="AD7" s="5"/>
      </tp>
      <tp>
        <v>42167538</v>
        <stp/>
        <stp>VAMO3_B_0</stp>
        <stp>VPJ</stp>
        <tr r="BL74" s="2"/>
        <tr r="AB72" s="5"/>
      </tp>
      <tp>
        <v>0</v>
        <stp/>
        <stp>BRKM5_B_0</stp>
        <stp>PRT</stp>
        <tr r="L17" s="2"/>
      </tp>
      <tp t="s">
        <v>00:00:00</v>
        <stp/>
        <stp>JBSS3_B_0</stp>
        <stp>HOR</stp>
        <tr r="AO64" s="2"/>
        <tr r="E62" s="5"/>
      </tp>
      <tp>
        <v>2351314</v>
        <stp/>
        <stp>ARML3_B_0</stp>
        <stp>VPJ</stp>
        <tr r="BL80" s="2"/>
        <tr r="AB78" s="5"/>
      </tp>
      <tp>
        <v>3584778</v>
        <stp/>
        <stp>CAML3_B_0</stp>
        <stp>VPJ</stp>
        <tr r="BL83" s="2"/>
        <tr r="AB81" s="5"/>
      </tp>
      <tp>
        <v>31.95</v>
        <stp/>
        <stp>VIVT3_B_0</stp>
        <stp>MIN</stp>
        <tr r="AS9" s="2"/>
        <tr r="I7" s="5"/>
      </tp>
      <tp t="s">
        <v>-</v>
        <stp/>
        <stp>ITUB4_B_0</stp>
        <stp>VEXT</stp>
        <tr r="CK32" s="2"/>
        <tr r="BA30" s="5"/>
      </tp>
      <tp t="s">
        <v>-</v>
        <stp/>
        <stp>CSAN3_B_0</stp>
        <stp>VIVH</stp>
        <tr r="CI62" s="2"/>
        <tr r="AY60" s="5"/>
      </tp>
      <tp>
        <v>35.870000000000005</v>
        <stp/>
        <stp>RENT3_B_0</stp>
        <stp>ULT</stp>
        <tr r="K50" s="2"/>
        <tr r="F22" s="5"/>
        <tr r="AP24" s="2"/>
      </tp>
      <tp>
        <v>0</v>
        <stp/>
        <stp>ARZZ3_B_0</stp>
        <stp>ABE</stp>
        <tr r="G70" s="5"/>
        <tr r="AQ72" s="2"/>
      </tp>
      <tp t="s">
        <v>-</v>
        <stp/>
        <stp>SUZB3_B_0</stp>
        <stp>VEGA</stp>
        <tr r="CE25" s="2"/>
        <tr r="AU23" s="5"/>
      </tp>
      <tp>
        <v>15.55</v>
        <stp/>
        <stp>SMTO3_B_0</stp>
        <stp>OVD</stp>
        <tr r="U64" s="5"/>
        <tr r="BE66" s="2"/>
      </tp>
      <tp t="s">
        <v>-</v>
        <stp/>
        <stp>VAMO3_B_0</stp>
        <stp>VIA</stp>
        <tr r="CF74" s="2"/>
        <tr r="AV72" s="5"/>
      </tp>
      <tp t="s">
        <v>-</v>
        <stp/>
        <stp>VAMO3_B_0</stp>
        <stp>VIB</stp>
        <tr r="CG74" s="2"/>
        <tr r="AW72" s="5"/>
      </tp>
      <tp t="s">
        <v>-</v>
        <stp/>
        <stp>SUZB3_B_0</stp>
        <stp>VEXT</stp>
        <tr r="CK25" s="2"/>
        <tr r="BA23" s="5"/>
      </tp>
      <tp t="s">
        <v>-</v>
        <stp/>
        <stp>KEPL3_B_0</stp>
        <stp>BLACK</stp>
        <tr r="BY73" s="2"/>
        <tr r="AO71" s="5"/>
      </tp>
      <tp>
        <v>24226</v>
        <stp/>
        <stp>ITUB4_B_0</stp>
        <stp>NEG</stp>
        <tr r="AZ32" s="2"/>
        <tr r="P30" s="5"/>
      </tp>
      <tp t="s">
        <v>-</v>
        <stp/>
        <stp>ITUB4_B_0</stp>
        <stp>VEGA</stp>
        <tr r="CE32" s="2"/>
        <tr r="AU30" s="5"/>
      </tp>
      <tp t="s">
        <v>-</v>
        <stp/>
        <stp>RAIL3_B_0</stp>
        <stp>RHO</stp>
        <tr r="CD60" s="2"/>
        <tr r="AT58" s="5"/>
      </tp>
      <tp>
        <v>30.1</v>
        <stp/>
        <stp>PETR4_B_0</stp>
        <stp>OVD</stp>
        <tr r="BE11" s="2"/>
        <tr r="U9" s="5"/>
      </tp>
      <tp>
        <v>6.26</v>
        <stp/>
        <stp>MRVE3_B_0</stp>
        <stp>MAX</stp>
        <tr r="AR18" s="2"/>
        <tr r="H16" s="5"/>
      </tp>
      <tp>
        <v>7.5630252100840405</v>
        <stp/>
        <stp>GOAU4_B_0</stp>
        <stp>TRIM</stp>
        <tr r="BS19" s="2"/>
        <tr r="AI17" s="5"/>
      </tp>
      <tp t="s">
        <v>-</v>
        <stp/>
        <stp>USIM5_B_0</stp>
        <stp>RHO</stp>
        <tr r="CD29" s="2"/>
        <tr r="AT27" s="5"/>
      </tp>
      <tp t="s">
        <v>-</v>
        <stp/>
        <stp>ARML3_B_0</stp>
        <stp>VIB</stp>
        <tr r="CG80" s="2"/>
        <tr r="AW78" s="5"/>
      </tp>
      <tp t="s">
        <v>-</v>
        <stp/>
        <stp>CAML3_B_0</stp>
        <stp>VIA</stp>
        <tr r="CF83" s="2"/>
        <tr r="AV81" s="5"/>
      </tp>
      <tp t="s">
        <v>-</v>
        <stp/>
        <stp>CAML3_B_0</stp>
        <stp>VIB</stp>
        <tr r="CG83" s="2"/>
        <tr r="AW81" s="5"/>
      </tp>
      <tp t="s">
        <v>-</v>
        <stp/>
        <stp>ARML3_B_0</stp>
        <stp>VIA</stp>
        <tr r="CF80" s="2"/>
        <tr r="AV78" s="5"/>
      </tp>
      <tp>
        <v>8.8600000000000012</v>
        <stp/>
        <stp>RANI3_B_0</stp>
        <stp>ULT</stp>
        <tr r="F83" s="5"/>
        <tr r="AP85" s="2"/>
        <tr r="AP92" s="2"/>
        <tr r="AP91" s="2"/>
        <tr r="AP90" s="2"/>
        <tr r="AP89" s="2"/>
        <tr r="AP88" s="2"/>
        <tr r="AP87" s="2"/>
        <tr r="AP86" s="2"/>
      </tp>
      <tp t="s">
        <v>-</v>
        <stp/>
        <stp>BEEF3_B_0</stp>
        <stp>GAMA</stp>
        <tr r="AR65" s="5"/>
        <tr r="CB67" s="2"/>
      </tp>
      <tp>
        <v>0</v>
        <stp/>
        <stp>DOLPT_E_0</stp>
        <stp>PRT</stp>
        <tr r="BJ16" s="2"/>
        <tr r="Z14" s="5"/>
      </tp>
      <tp>
        <v>0</v>
        <stp/>
        <stp>ARML3_B_0</stp>
        <stp>VOV</stp>
        <tr r="BG80" s="2"/>
        <tr r="W78" s="5"/>
      </tp>
      <tp>
        <v>1000</v>
        <stp/>
        <stp>CAML3_B_0</stp>
        <stp>VOV</stp>
        <tr r="BG83" s="2"/>
        <tr r="W81" s="5"/>
      </tp>
      <tp>
        <v>3584778</v>
        <stp/>
        <stp>CAML3_B_0</stp>
        <stp>VOL</stp>
        <tr r="BC83" s="2"/>
        <tr r="S81" s="5"/>
      </tp>
      <tp>
        <v>2351314</v>
        <stp/>
        <stp>ARML3_B_0</stp>
        <stp>VOL</stp>
        <tr r="BC80" s="2"/>
        <tr r="S78" s="5"/>
      </tp>
      <tp>
        <v>0</v>
        <stp/>
        <stp>ARML3_B_0</stp>
        <stp>VOC</stp>
        <tr r="BF80" s="2"/>
        <tr r="V78" s="5"/>
      </tp>
      <tp>
        <v>1500</v>
        <stp/>
        <stp>CAML3_B_0</stp>
        <stp>VOC</stp>
        <tr r="BF83" s="2"/>
        <tr r="V81" s="5"/>
      </tp>
      <tp t="s">
        <v>17:05:00</v>
        <stp/>
        <stp>RCSL3_B_0</stp>
        <stp>HOR</stp>
        <tr r="AO65" s="2"/>
        <tr r="E63" s="5"/>
      </tp>
      <tp>
        <v>-68.133971291866033</v>
        <stp/>
        <stp>GFSA3_B_0</stp>
        <stp>SEMES</stp>
        <tr r="BT22" s="2"/>
        <tr r="AJ20" s="5"/>
      </tp>
      <tp>
        <v>42167538</v>
        <stp/>
        <stp>VAMO3_B_0</stp>
        <stp>VOL</stp>
        <tr r="BC74" s="2"/>
        <tr r="S72" s="5"/>
      </tp>
      <tp>
        <v>-16.241610738255034</v>
        <stp/>
        <stp>MRVE3_B_0</stp>
        <stp>MES</stp>
        <tr r="BN18" s="2"/>
        <tr r="AD16" s="5"/>
      </tp>
      <tp>
        <v>48.1</v>
        <stp/>
        <stp>SUZB3_B_0</stp>
        <stp>ABE</stp>
        <tr r="AQ25" s="2"/>
        <tr r="G23" s="5"/>
      </tp>
      <tp>
        <v>5200</v>
        <stp/>
        <stp>VAMO3_B_0</stp>
        <stp>VOC</stp>
        <tr r="BF74" s="2"/>
        <tr r="V72" s="5"/>
      </tp>
      <tp t="s">
        <v>-</v>
        <stp/>
        <stp>CSAN3_B_0</stp>
        <stp>VINT</stp>
        <tr r="CJ62" s="2"/>
        <tr r="AZ60" s="5"/>
      </tp>
      <tp>
        <v>6.2049950631025261</v>
        <stp/>
        <stp>MRVE3_B_0</stp>
        <stp>MED</stp>
        <tr r="AX18" s="2"/>
        <tr r="N16" s="5"/>
      </tp>
      <tp>
        <v>4100</v>
        <stp/>
        <stp>VAMO3_B_0</stp>
        <stp>VOV</stp>
        <tr r="BG74" s="2"/>
        <tr r="W72" s="5"/>
      </tp>
      <tp t="s">
        <v>31/12/9999</v>
        <stp/>
        <stp>VAMO3_B_0</stp>
        <stp>VAL</stp>
        <tr r="BV74" s="2"/>
        <tr r="AL72" s="5"/>
      </tp>
      <tp t="s">
        <v>17:40:20</v>
        <stp/>
        <stp>HBSA3_B_0</stp>
        <stp>HOR</stp>
        <tr r="E56" s="5"/>
        <tr r="AO58" s="2"/>
      </tp>
      <tp t="s">
        <v>17:59:38</v>
        <stp/>
        <stp>ITSA4_B_0</stp>
        <stp>HOR</stp>
        <tr r="E29" s="5"/>
        <tr r="AO31" s="2"/>
      </tp>
      <tp t="s">
        <v>17:59:53</v>
        <stp/>
        <stp>B3SA3_B_0</stp>
        <stp>HOR</stp>
        <tr r="E19" s="5"/>
        <tr r="AO21" s="2"/>
      </tp>
      <tp t="s">
        <v>17:06:00</v>
        <stp/>
        <stp>GFSA3_B_0</stp>
        <stp>HOR</stp>
        <tr r="E20" s="5"/>
        <tr r="AO22" s="2"/>
      </tp>
      <tp>
        <v>-1.0238907849829284</v>
        <stp/>
        <stp>VAMO3_B_0</stp>
        <stp>VAR</stp>
        <tr r="AV74" s="2"/>
        <tr r="L72" s="5"/>
      </tp>
      <tp t="s">
        <v>-</v>
        <stp/>
        <stp>TTEN3_B_0</stp>
        <stp>VIVH</stp>
        <tr r="CI84" s="2"/>
        <tr r="AY82" s="5"/>
      </tp>
      <tp t="s">
        <v>-</v>
        <stp/>
        <stp>CMIG4_B_0</stp>
        <stp>RHO</stp>
        <tr r="CD23" s="2"/>
        <tr r="AT21" s="5"/>
      </tp>
      <tp t="s">
        <v>-</v>
        <stp/>
        <stp>LREN3_B_0</stp>
        <stp>VINT</stp>
        <tr r="CJ34" s="2"/>
        <tr r="AZ32" s="5"/>
      </tp>
      <tp>
        <v>-22.321139527355129</v>
        <stp/>
        <stp>SUZB3_B_0</stp>
        <stp>ANO</stp>
        <tr r="BR25" s="2"/>
        <tr r="AH23" s="5"/>
      </tp>
      <tp>
        <v>6.11</v>
        <stp/>
        <stp>MRVE3_B_0</stp>
        <stp>MIN</stp>
        <tr r="AS18" s="2"/>
        <tr r="I16" s="5"/>
      </tp>
      <tp>
        <v>15.36</v>
        <stp/>
        <stp>SMTO3_B_0</stp>
        <stp>OCP</stp>
        <tr r="T64" s="5"/>
        <tr r="BD66" s="2"/>
      </tp>
      <tp>
        <v>-1.6227113490647149</v>
        <stp/>
        <stp>ARML3_B_0</stp>
        <stp>VAR</stp>
        <tr r="AV80" s="2"/>
        <tr r="L78" s="5"/>
      </tp>
      <tp>
        <v>-1.4056224899598448</v>
        <stp/>
        <stp>CAML3_B_0</stp>
        <stp>VAR</stp>
        <tr r="AV83" s="2"/>
        <tr r="L81" s="5"/>
      </tp>
      <tp>
        <v>8.4500000000000011</v>
        <stp/>
        <stp>CSNA3_B_0</stp>
        <stp>ULT</stp>
        <tr r="K72" s="2"/>
        <tr r="AP10" s="2"/>
        <tr r="F8" s="5"/>
      </tp>
      <tp t="s">
        <v>31/12/9999</v>
        <stp/>
        <stp>CAML3_B_0</stp>
        <stp>VAL</stp>
        <tr r="BV83" s="2"/>
        <tr r="AL81" s="5"/>
      </tp>
      <tp t="s">
        <v>31/12/9999</v>
        <stp/>
        <stp>ARML3_B_0</stp>
        <stp>VAL</stp>
        <tr r="BV80" s="2"/>
        <tr r="AL78" s="5"/>
      </tp>
      <tp t="s">
        <v>-</v>
        <stp/>
        <stp>VAMO3_B_0</stp>
        <stp>VEN</stp>
        <tr r="BU74" s="2"/>
        <tr r="AK72" s="5"/>
      </tp>
      <tp>
        <v>0</v>
        <stp/>
        <stp>SUZB3_B_0</stp>
        <stp>AJA</stp>
        <tr r="BI25" s="2"/>
        <tr r="Y23" s="5"/>
      </tp>
      <tp>
        <v>0</v>
        <stp/>
        <stp>SUZB3_B_0</stp>
        <stp>AJU</stp>
        <tr r="BH25" s="2"/>
        <tr r="X23" s="5"/>
      </tp>
      <tp>
        <v>-23.430321592649317</v>
        <stp/>
        <stp>GMAT3_B_0</stp>
        <stp>SEMES</stp>
        <tr r="BT59" s="2"/>
        <tr r="AJ57" s="5"/>
      </tp>
      <tp t="s">
        <v>-</v>
        <stp/>
        <stp>CRFB3_B_0</stp>
        <stp>VEGA</stp>
        <tr r="CE63" s="2"/>
        <tr r="AU61" s="5"/>
      </tp>
      <tp t="s">
        <v>-</v>
        <stp/>
        <stp>ARML3_B_0</stp>
        <stp>VEN</stp>
        <tr r="BU80" s="2"/>
        <tr r="AK78" s="5"/>
      </tp>
      <tp t="s">
        <v>-</v>
        <stp/>
        <stp>CAML3_B_0</stp>
        <stp>VEN</stp>
        <tr r="BU83" s="2"/>
        <tr r="AK81" s="5"/>
      </tp>
      <tp t="s">
        <v>-</v>
        <stp/>
        <stp>MDIA3_B_0</stp>
        <stp>RHO</stp>
        <tr r="CD78" s="2"/>
        <tr r="AT76" s="5"/>
      </tp>
      <tp>
        <v>-8.5416666666666519</v>
        <stp/>
        <stp>MGLU3_B_0</stp>
        <stp>TRIM</stp>
        <tr r="BS35" s="2"/>
        <tr r="AI33" s="5"/>
      </tp>
      <tp t="s">
        <v>-</v>
        <stp/>
        <stp>IBOV_B_0</stp>
        <stp>VINT</stp>
        <tr r="CJ6" s="2"/>
        <tr r="AZ4" s="5"/>
      </tp>
      <tp>
        <v>0</v>
        <stp/>
        <stp>ENGI11_B_0</stp>
        <stp>PRT</stp>
        <tr r="L35" s="2"/>
      </tp>
      <tp t="s">
        <v>29/12/2024</v>
        <stp/>
        <stp>WDOK24_F_0</stp>
        <stp>VAL</stp>
        <tr r="BV39" s="2"/>
        <tr r="AL37" s="5"/>
      </tp>
      <tp>
        <v>0</v>
        <stp/>
        <stp>WDOK24_F_0</stp>
        <stp>VAR</stp>
        <tr r="L37" s="5"/>
        <tr r="AV39" s="2"/>
      </tp>
      <tp>
        <v>0</v>
        <stp/>
        <stp>WDON24_F_0</stp>
        <stp>SEM</stp>
        <tr r="BM50" s="2"/>
        <tr r="AC48" s="5"/>
      </tp>
      <tp t="s">
        <v>29/12/2024</v>
        <stp/>
        <stp>WDOK24_F_0</stp>
        <stp>VEN</stp>
        <tr r="AK37" s="5"/>
        <tr r="BU39" s="2"/>
      </tp>
      <tp>
        <v>0</v>
        <stp/>
        <stp>WDOM24_F_0</stp>
        <stp>PEX</stp>
        <tr r="K47" s="5"/>
        <tr r="AU49" s="2"/>
      </tp>
      <tp>
        <v>0</v>
        <stp/>
        <stp>WINM24_F_0</stp>
        <stp>PEX</stp>
        <tr r="AU40" s="2"/>
        <tr r="K38" s="5"/>
      </tp>
      <tp t="s">
        <v>-</v>
        <stp/>
        <stp>WDOK24_F_0</stp>
        <stp>VIA</stp>
        <tr r="AV37" s="5"/>
        <tr r="CF39" s="2"/>
      </tp>
      <tp t="s">
        <v>-</v>
        <stp/>
        <stp>WDOK24_F_0</stp>
        <stp>VIB</stp>
        <tr r="CG39" s="2"/>
        <tr r="AW37" s="5"/>
      </tp>
      <tp>
        <v>0</v>
        <stp/>
        <stp>WDOK24_F_0</stp>
        <stp>VOL</stp>
        <tr r="BC39" s="2"/>
        <tr r="S37" s="5"/>
      </tp>
      <tp>
        <v>0</v>
        <stp/>
        <stp>WDOK24_F_0</stp>
        <stp>VOC</stp>
        <tr r="BF39" s="2"/>
        <tr r="V37" s="5"/>
      </tp>
      <tp>
        <v>0</v>
        <stp/>
        <stp>WDOK24_F_0</stp>
        <stp>VOV</stp>
        <tr r="BG39" s="2"/>
        <tr r="W37" s="5"/>
      </tp>
      <tp>
        <v>0</v>
        <stp/>
        <stp>IGTI11_B_0</stp>
        <stp>PRT</stp>
        <tr r="L44" s="2"/>
      </tp>
      <tp t="s">
        <v>00:00:00</v>
        <stp/>
        <stp>WDOU24_F_0</stp>
        <stp>HOR</stp>
        <tr r="AO55" s="2"/>
        <tr r="E53" s="5"/>
      </tp>
      <tp>
        <v>0</v>
        <stp/>
        <stp>INDM24_F_0</stp>
        <stp>PRT</stp>
        <tr r="BJ45" s="2"/>
        <tr r="Z43" s="5"/>
      </tp>
      <tp>
        <v>0</v>
        <stp/>
        <stp>WDOH24_F_0</stp>
        <stp>ULT</stp>
        <tr r="F50" s="5"/>
        <tr r="AP52" s="2"/>
      </tp>
      <tp>
        <v>0</v>
        <stp/>
        <stp>WINM24_F_0</stp>
        <stp>PRT</stp>
        <tr r="BJ40" s="2"/>
        <tr r="Z38" s="5"/>
      </tp>
      <tp>
        <v>0</v>
        <stp/>
        <stp>WDOM24_F_0</stp>
        <stp>PRT</stp>
        <tr r="BJ49" s="2"/>
        <tr r="Z47" s="5"/>
      </tp>
      <tp t="s">
        <v>NONE</v>
        <stp/>
        <stp>WDOX24_F_0</stp>
        <stp>EST</stp>
        <tr r="BX56" s="2"/>
        <tr r="AN54" s="5"/>
      </tp>
      <tp>
        <v>0</v>
        <stp/>
        <stp>WDOK24_F_0</stp>
        <stp>VPJ</stp>
        <tr r="BL39" s="2"/>
        <tr r="AB37" s="5"/>
      </tp>
      <tp t="s">
        <v>-</v>
        <stp/>
        <stp>IBOV_B_0</stp>
        <stp>VIVH</stp>
        <tr r="CI6" s="2"/>
        <tr r="AY4" s="5"/>
      </tp>
      <tp>
        <v>0</v>
        <stp/>
        <stp>INDM24_F_0</stp>
        <stp>PEX</stp>
        <tr r="K43" s="5"/>
        <tr r="AU45" s="2"/>
      </tp>
      <tp>
        <v>5493.5</v>
        <stp/>
        <stp>WDOFUTV_F_0</stp>
        <stp>MAX</stp>
        <tr r="AR47" s="2"/>
        <tr r="H45" s="5"/>
      </tp>
      <tp>
        <v>5486.0743684321224</v>
        <stp/>
        <stp>WDOFUTV_F_0</stp>
        <stp>MED</stp>
        <tr r="N45" s="5"/>
        <tr r="AX47" s="2"/>
      </tp>
      <tp>
        <v>2.3969408692408134</v>
        <stp/>
        <stp>WDOFUTV_F_0</stp>
        <stp>MES</stp>
        <tr r="BN47" s="2"/>
        <tr r="AD45" s="5"/>
      </tp>
      <tp>
        <v>5478.5</v>
        <stp/>
        <stp>WDOFUTV_F_0</stp>
        <stp>MIN</stp>
        <tr r="I45" s="5"/>
        <tr r="AS47" s="2"/>
      </tp>
      <tp>
        <v>6.9999999999998508E-2</v>
        <stp/>
        <stp>TTEN3_B_0</stp>
        <stp>VARPTS</stp>
        <tr r="AW84" s="2"/>
        <tr r="M82" s="5"/>
      </tp>
      <tp>
        <v>9.9999999999997868E-3</v>
        <stp/>
        <stp>ITSA4_B_0</stp>
        <stp>VARPTS</stp>
        <tr r="AW31" s="2"/>
        <tr r="M29" s="5"/>
      </tp>
      <tp>
        <v>0.16000000000000369</v>
        <stp/>
        <stp>ITUB4_B_0</stp>
        <stp>VARPTS</stp>
        <tr r="AW32" s="2"/>
        <tr r="M30" s="5"/>
      </tp>
      <tp t="s">
        <v>-</v>
        <stp/>
        <stp>INDFUT_F_0</stp>
        <stp>VINT</stp>
        <tr r="CJ17" s="2"/>
        <tr r="AZ15" s="5"/>
      </tp>
      <tp t="s">
        <v>-</v>
        <stp/>
        <stp>INDFUT_F_0</stp>
        <stp>VIVH</stp>
        <tr r="CI17" s="2"/>
        <tr r="AY15" s="5"/>
      </tp>
      <tp t="s">
        <v>-</v>
        <stp/>
        <stp>CSNA3_B_0</stp>
        <stp>VEXT</stp>
        <tr r="BA8" s="5"/>
        <tr r="CK10" s="2"/>
      </tp>
      <tp t="s">
        <v>-</v>
        <stp/>
        <stp>VALE3_B_0</stp>
        <stp>GAMA</stp>
        <tr r="CB12" s="2"/>
        <tr r="AR10" s="5"/>
      </tp>
      <tp t="s">
        <v>17:07:37</v>
        <stp/>
        <stp>TUPY3_B_0</stp>
        <stp>HOR</stp>
        <tr r="E79" s="5"/>
        <tr r="AO81" s="2"/>
      </tp>
      <tp t="s">
        <v>-</v>
        <stp/>
        <stp>BBDC4_B_0</stp>
        <stp>DELTA</stp>
        <tr r="CA27" s="2"/>
        <tr r="AQ25" s="5"/>
      </tp>
      <tp t="s">
        <v>-</v>
        <stp/>
        <stp>B3SA3_B_0</stp>
        <stp>VEXT</stp>
        <tr r="CK21" s="2"/>
        <tr r="BA19" s="5"/>
      </tp>
      <tp t="s">
        <v>-</v>
        <stp/>
        <stp>ECOR3_B_0</stp>
        <stp>DELTA</stp>
        <tr r="CA7" s="2"/>
        <tr r="AQ5" s="5"/>
      </tp>
      <tp>
        <v>0</v>
        <stp/>
        <stp>MDIA3_B_0</stp>
        <stp>QUL</stp>
        <tr r="BA78" s="2"/>
        <tr r="Q76" s="5"/>
      </tp>
      <tp>
        <v>1350400</v>
        <stp/>
        <stp>MDIA3_B_0</stp>
        <stp>QTT</stp>
        <tr r="BB78" s="2"/>
        <tr r="R76" s="5"/>
      </tp>
      <tp t="s">
        <v>31/12/9999</v>
        <stp/>
        <stp>RENT3_B_0</stp>
        <stp>VAL</stp>
        <tr r="BV24" s="2"/>
        <tr r="AL22" s="5"/>
      </tp>
      <tp>
        <v>0</v>
        <stp/>
        <stp>MDIA3_B_0</stp>
        <stp>QTE</stp>
        <tr r="BK78" s="2"/>
        <tr r="AA76" s="5"/>
      </tp>
      <tp>
        <v>-0.74709463198670734</v>
        <stp/>
        <stp>RENT3_B_0</stp>
        <stp>VAR</stp>
        <tr r="AV24" s="2"/>
        <tr r="L22" s="5"/>
      </tp>
      <tp>
        <v>0.984570168993393</v>
        <stp/>
        <stp>DOLPT_E_0</stp>
        <stp>SEM</stp>
        <tr r="BM16" s="2"/>
        <tr r="AC14" s="5"/>
      </tp>
      <tp t="s">
        <v>-</v>
        <stp/>
        <stp>GFSA3_B_0</stp>
        <stp>VEXT</stp>
        <tr r="CK22" s="2"/>
        <tr r="BA20" s="5"/>
      </tp>
      <tp>
        <v>0</v>
        <stp/>
        <stp>CMIG4_B_0</stp>
        <stp>QUL</stp>
        <tr r="BA23" s="2"/>
        <tr r="Q21" s="5"/>
      </tp>
      <tp>
        <v>7095000</v>
        <stp/>
        <stp>CMIG4_B_0</stp>
        <stp>QTT</stp>
        <tr r="BB23" s="2"/>
        <tr r="R21" s="5"/>
      </tp>
      <tp t="s">
        <v>-</v>
        <stp/>
        <stp>SLCE3_B_0</stp>
        <stp>GAMA</stp>
        <tr r="CB79" s="2"/>
        <tr r="AR77" s="5"/>
      </tp>
      <tp>
        <v>0</v>
        <stp/>
        <stp>CMIG4_B_0</stp>
        <stp>QTE</stp>
        <tr r="BK23" s="2"/>
        <tr r="AA21" s="5"/>
      </tp>
      <tp t="s">
        <v>-</v>
        <stp/>
        <stp>USIM5_B_0</stp>
        <stp>VINT</stp>
        <tr r="CJ29" s="2"/>
        <tr r="AZ27" s="5"/>
      </tp>
      <tp t="s">
        <v>-</v>
        <stp/>
        <stp>RENT3_B_0</stp>
        <stp>VEN</stp>
        <tr r="BU24" s="2"/>
        <tr r="AK22" s="5"/>
      </tp>
      <tp>
        <v>8974</v>
        <stp/>
        <stp>VIVT3_B_0</stp>
        <stp>NEG</stp>
        <tr r="AZ9" s="2"/>
        <tr r="P7" s="5"/>
      </tp>
      <tp>
        <v>49489573</v>
        <stp/>
        <stp>CSNA3_B_0</stp>
        <stp>VPJ</stp>
        <tr r="BL10" s="2"/>
        <tr r="AB8" s="5"/>
      </tp>
      <tp>
        <v>22.650000000000002</v>
        <stp/>
        <stp>TIMS3_B_0</stp>
        <stp>ULT</stp>
        <tr r="K78" s="2"/>
      </tp>
      <tp t="s">
        <v>-</v>
        <stp/>
        <stp>HBSA3_B_0</stp>
        <stp>VEXT</stp>
        <tr r="CK58" s="2"/>
        <tr r="BA56" s="5"/>
      </tp>
      <tp t="s">
        <v>-</v>
        <stp/>
        <stp>RENT3_B_0</stp>
        <stp>VIA</stp>
        <tr r="CF24" s="2"/>
        <tr r="AV22" s="5"/>
      </tp>
      <tp t="s">
        <v>-</v>
        <stp/>
        <stp>RENT3_B_0</stp>
        <stp>VIB</stp>
        <tr r="CG24" s="2"/>
        <tr r="AW22" s="5"/>
      </tp>
      <tp>
        <v>-12.345679012345666</v>
        <stp/>
        <stp>DXCO3_B_0</stp>
        <stp>SEMES</stp>
        <tr r="BT75" s="2"/>
        <tr r="AJ73" s="5"/>
      </tp>
      <tp>
        <v>141472511</v>
        <stp/>
        <stp>RENT3_B_0</stp>
        <stp>VOL</stp>
        <tr r="BC24" s="2"/>
        <tr r="S22" s="5"/>
      </tp>
      <tp>
        <v>600</v>
        <stp/>
        <stp>RENT3_B_0</stp>
        <stp>VOC</stp>
        <tr r="BF24" s="2"/>
        <tr r="V22" s="5"/>
      </tp>
      <tp t="s">
        <v>-</v>
        <stp/>
        <stp>ITSA4_B_0</stp>
        <stp>VEXT</stp>
        <tr r="CK31" s="2"/>
        <tr r="BA29" s="5"/>
      </tp>
      <tp t="s">
        <v>17:07:00</v>
        <stp/>
        <stp>RAPT4_B_0</stp>
        <stp>HOR</stp>
        <tr r="E74" s="5"/>
        <tr r="AO76" s="2"/>
      </tp>
      <tp>
        <v>600</v>
        <stp/>
        <stp>RENT3_B_0</stp>
        <stp>VOV</stp>
        <tr r="BG24" s="2"/>
        <tr r="W22" s="5"/>
      </tp>
      <tp>
        <v>0</v>
        <stp/>
        <stp>USIM5_B_0</stp>
        <stp>QUL</stp>
        <tr r="BA29" s="2"/>
        <tr r="Q27" s="5"/>
      </tp>
      <tp t="s">
        <v>-</v>
        <stp/>
        <stp>MDIA3_B_0</stp>
        <stp>VEXT</stp>
        <tr r="CK78" s="2"/>
        <tr r="BA76" s="5"/>
      </tp>
      <tp>
        <v>0</v>
        <stp/>
        <stp>RAIL3_B_0</stp>
        <stp>QTE</stp>
        <tr r="BK60" s="2"/>
        <tr r="AA58" s="5"/>
      </tp>
      <tp>
        <v>7826700</v>
        <stp/>
        <stp>RAIL3_B_0</stp>
        <stp>QTT</stp>
        <tr r="BB60" s="2"/>
        <tr r="R58" s="5"/>
      </tp>
      <tp>
        <v>6578781</v>
        <stp/>
        <stp>RANI3_B_0</stp>
        <stp>VPJ</stp>
        <tr r="BL85" s="2"/>
        <tr r="AB83" s="5"/>
        <tr r="BL87" s="2"/>
        <tr r="BL92" s="2"/>
        <tr r="BL91" s="2"/>
        <tr r="BL90" s="2"/>
        <tr r="BL89" s="2"/>
        <tr r="BL88" s="2"/>
        <tr r="BL86" s="2"/>
      </tp>
      <tp>
        <v>0</v>
        <stp/>
        <stp>RAIL3_B_0</stp>
        <stp>QUL</stp>
        <tr r="BA60" s="2"/>
        <tr r="Q58" s="5"/>
      </tp>
      <tp>
        <v>0</v>
        <stp/>
        <stp>USIM5_B_0</stp>
        <stp>QTE</stp>
        <tr r="BK29" s="2"/>
        <tr r="AA27" s="5"/>
      </tp>
      <tp>
        <v>25441600</v>
        <stp/>
        <stp>USIM5_B_0</stp>
        <stp>QTT</stp>
        <tr r="BB29" s="2"/>
        <tr r="R27" s="5"/>
      </tp>
      <tp t="s">
        <v>-</v>
        <stp/>
        <stp>EMBR3_B_0</stp>
        <stp>DELTA</stp>
        <tr r="CA26" s="2"/>
        <tr r="AQ24" s="5"/>
      </tp>
      <tp>
        <v>6578781</v>
        <stp/>
        <stp>RANI3_B_0</stp>
        <stp>VOL</stp>
        <tr r="BC85" s="2"/>
        <tr r="S83" s="5"/>
        <tr r="BC92" s="2"/>
        <tr r="BC91" s="2"/>
        <tr r="BC87" s="2"/>
        <tr r="BC90" s="2"/>
        <tr r="BC89" s="2"/>
        <tr r="BC88" s="2"/>
        <tr r="BC86" s="2"/>
      </tp>
      <tp>
        <v>800</v>
        <stp/>
        <stp>RANI3_B_0</stp>
        <stp>VOC</stp>
        <tr r="BF85" s="2"/>
        <tr r="V83" s="5"/>
        <tr r="BF92" s="2"/>
        <tr r="BF91" s="2"/>
        <tr r="BF90" s="2"/>
        <tr r="BF89" s="2"/>
        <tr r="BF88" s="2"/>
        <tr r="BF87" s="2"/>
        <tr r="BF86" s="2"/>
      </tp>
      <tp>
        <v>500</v>
        <stp/>
        <stp>RANI3_B_0</stp>
        <stp>VOV</stp>
        <tr r="BG85" s="2"/>
        <tr r="W83" s="5"/>
        <tr r="BG92" s="2"/>
        <tr r="BG91" s="2"/>
        <tr r="BG90" s="2"/>
        <tr r="BG89" s="2"/>
        <tr r="BG87" s="2"/>
        <tr r="BG88" s="2"/>
        <tr r="BG86" s="2"/>
      </tp>
      <tp t="s">
        <v>-</v>
        <stp/>
        <stp>BRAP4_B_0</stp>
        <stp>DELTA</stp>
        <tr r="CA30" s="2"/>
        <tr r="AQ28" s="5"/>
      </tp>
      <tp t="s">
        <v>-</v>
        <stp/>
        <stp>LREN3_B_0</stp>
        <stp>THETA</stp>
        <tr r="CC34" s="2"/>
        <tr r="AS32" s="5"/>
      </tp>
      <tp>
        <v>-4.1095890410958829</v>
        <stp/>
        <stp>ITUB4_B_0</stp>
        <stp>MES</stp>
        <tr r="BN32" s="2"/>
        <tr r="AD30" s="5"/>
      </tp>
      <tp>
        <v>37.599509220977176</v>
        <stp/>
        <stp>ITUB4_B_0</stp>
        <stp>MED</stp>
        <tr r="AX32" s="2"/>
        <tr r="N30" s="5"/>
      </tp>
      <tp t="s">
        <v>-</v>
        <stp/>
        <stp>MDIA3_B_0</stp>
        <stp>VEGA</stp>
        <tr r="CE78" s="2"/>
        <tr r="AU76" s="5"/>
      </tp>
      <tp t="s">
        <v>-</v>
        <stp/>
        <stp>ITSA4_B_0</stp>
        <stp>VEGA</stp>
        <tr r="CE31" s="2"/>
        <tr r="AU29" s="5"/>
      </tp>
      <tp>
        <v>141472511</v>
        <stp/>
        <stp>RENT3_B_0</stp>
        <stp>VPJ</stp>
        <tr r="BL24" s="2"/>
        <tr r="AB22" s="5"/>
      </tp>
      <tp t="s">
        <v>-</v>
        <stp/>
        <stp>CSNA3_B_0</stp>
        <stp>VEN</stp>
        <tr r="BU10" s="2"/>
        <tr r="AK8" s="5"/>
      </tp>
      <tp>
        <v>-0.33085194375516247</v>
        <stp/>
        <stp>ABEV3_B_0</stp>
        <stp>TRIM</stp>
        <tr r="AI18" s="5"/>
        <tr r="BS20" s="2"/>
      </tp>
      <tp t="s">
        <v>-</v>
        <stp/>
        <stp>HBSA3_B_0</stp>
        <stp>VEGA</stp>
        <tr r="CE58" s="2"/>
        <tr r="AU56" s="5"/>
      </tp>
      <tp t="s">
        <v>17:07:38</v>
        <stp/>
        <stp>KEPL3_B_0</stp>
        <stp>HOR</stp>
        <tr r="E71" s="5"/>
        <tr r="AO73" s="2"/>
      </tp>
      <tp>
        <v>37.840000000000003</v>
        <stp/>
        <stp>ITUB4_B_0</stp>
        <stp>MAX</stp>
        <tr r="AR32" s="2"/>
        <tr r="H30" s="5"/>
      </tp>
      <tp t="s">
        <v>-</v>
        <stp/>
        <stp>CYRE3_B_0</stp>
        <stp>GAMA</stp>
        <tr r="CB28" s="2"/>
        <tr r="AR26" s="5"/>
      </tp>
      <tp>
        <v>8.4700000000000006</v>
        <stp/>
        <stp>POMO4_B_0</stp>
        <stp>ULT</stp>
        <tr r="K53" s="2"/>
      </tp>
      <tp>
        <v>2.9000000000000004</v>
        <stp/>
        <stp>VAMO3_B_0</stp>
        <stp>ULT</stp>
        <tr r="K83" s="2"/>
        <tr r="F72" s="5"/>
        <tr r="AP74" s="2"/>
      </tp>
      <tp t="s">
        <v>-</v>
        <stp/>
        <stp>RANI3_B_0</stp>
        <stp>VIA</stp>
        <tr r="CF85" s="2"/>
        <tr r="AV83" s="5"/>
        <tr r="CF92" s="2"/>
        <tr r="CF91" s="2"/>
        <tr r="CF89" s="2"/>
        <tr r="CF90" s="2"/>
        <tr r="CF88" s="2"/>
        <tr r="CF87" s="2"/>
        <tr r="CF86" s="2"/>
      </tp>
      <tp>
        <v>0.47562425683710968</v>
        <stp/>
        <stp>CSNA3_B_0</stp>
        <stp>VAR</stp>
        <tr r="AV10" s="2"/>
        <tr r="L8" s="5"/>
      </tp>
      <tp t="s">
        <v>-</v>
        <stp/>
        <stp>RANI3_B_0</stp>
        <stp>VIB</stp>
        <tr r="CG85" s="2"/>
        <tr r="AW83" s="5"/>
        <tr r="CG92" s="2"/>
        <tr r="CG91" s="2"/>
        <tr r="CG90" s="2"/>
        <tr r="CG89" s="2"/>
        <tr r="CG88" s="2"/>
        <tr r="CG87" s="2"/>
        <tr r="CG86" s="2"/>
      </tp>
      <tp>
        <v>4.91</v>
        <stp/>
        <stp>CAML3_B_0</stp>
        <stp>ULT</stp>
        <tr r="F81" s="5"/>
        <tr r="AP83" s="2"/>
      </tp>
      <tp>
        <v>2.9767000000000001</v>
        <stp/>
        <stp>ARML3_B_0</stp>
        <stp>ULT</stp>
        <tr r="F78" s="5"/>
        <tr r="AP80" s="2"/>
      </tp>
      <tp>
        <v>7711</v>
        <stp/>
        <stp>MRVE3_B_0</stp>
        <stp>NEG</stp>
        <tr r="AZ18" s="2"/>
        <tr r="P16" s="5"/>
      </tp>
      <tp t="s">
        <v>31/12/9999</v>
        <stp/>
        <stp>CSNA3_B_0</stp>
        <stp>VAL</stp>
        <tr r="BV10" s="2"/>
        <tr r="AL8" s="5"/>
      </tp>
      <tp t="s">
        <v>-</v>
        <stp/>
        <stp>HBSA3_B_0</stp>
        <stp>BLACK</stp>
        <tr r="BY58" s="2"/>
        <tr r="AO56" s="5"/>
      </tp>
      <tp>
        <v>0</v>
        <stp/>
        <stp>RAIZ4_B_0</stp>
        <stp>QTE</stp>
        <tr r="BK77" s="2"/>
        <tr r="AA75" s="5"/>
      </tp>
      <tp>
        <v>500</v>
        <stp/>
        <stp>CSNA3_B_0</stp>
        <stp>VOV</stp>
        <tr r="BG10" s="2"/>
        <tr r="W8" s="5"/>
      </tp>
      <tp>
        <v>49489573</v>
        <stp/>
        <stp>CSNA3_B_0</stp>
        <stp>VOL</stp>
        <tr r="BC10" s="2"/>
        <tr r="S8" s="5"/>
      </tp>
      <tp>
        <v>14512100</v>
        <stp/>
        <stp>RAIZ4_B_0</stp>
        <stp>QTT</stp>
        <tr r="BB77" s="2"/>
        <tr r="R75" s="5"/>
      </tp>
      <tp>
        <v>11800</v>
        <stp/>
        <stp>CSNA3_B_0</stp>
        <stp>VOC</stp>
        <tr r="BF10" s="2"/>
        <tr r="V8" s="5"/>
      </tp>
      <tp>
        <v>0</v>
        <stp/>
        <stp>RAIZ4_B_0</stp>
        <stp>QUL</stp>
        <tr r="BA77" s="2"/>
        <tr r="Q75" s="5"/>
      </tp>
      <tp t="s">
        <v>-</v>
        <stp/>
        <stp>RANI3_B_0</stp>
        <stp>VEN</stp>
        <tr r="BU85" s="2"/>
        <tr r="AK83" s="5"/>
        <tr r="BU92" s="2"/>
        <tr r="BU91" s="2"/>
        <tr r="BU89" s="2"/>
        <tr r="BU90" s="2"/>
        <tr r="BU88" s="2"/>
        <tr r="BU87" s="2"/>
        <tr r="BU86" s="2"/>
      </tp>
      <tp t="s">
        <v>-</v>
        <stp/>
        <stp>MRVE3_B_0</stp>
        <stp>GAMA</stp>
        <tr r="CB18" s="2"/>
        <tr r="AR16" s="5"/>
      </tp>
      <tp t="s">
        <v>-</v>
        <stp/>
        <stp>GFSA3_B_0</stp>
        <stp>VEGA</stp>
        <tr r="CE22" s="2"/>
        <tr r="AU20" s="5"/>
      </tp>
      <tp>
        <v>37.19</v>
        <stp/>
        <stp>ITUB4_B_0</stp>
        <stp>MIN</stp>
        <tr r="AS32" s="2"/>
        <tr r="I30" s="5"/>
      </tp>
      <tp t="s">
        <v>31/12/9999</v>
        <stp/>
        <stp>RANI3_B_0</stp>
        <stp>VAL</stp>
        <tr r="BV85" s="2"/>
        <tr r="AL83" s="5"/>
        <tr r="BV92" s="2"/>
        <tr r="BV91" s="2"/>
        <tr r="BV89" s="2"/>
        <tr r="BV88" s="2"/>
        <tr r="BV90" s="2"/>
        <tr r="BV87" s="2"/>
        <tr r="BV86" s="2"/>
      </tp>
      <tp t="s">
        <v>-</v>
        <stp/>
        <stp>USIM5_B_0</stp>
        <stp>VIVH</stp>
        <tr r="CI29" s="2"/>
        <tr r="AY27" s="5"/>
      </tp>
      <tp t="s">
        <v>-</v>
        <stp/>
        <stp>CSNA3_B_0</stp>
        <stp>VIA</stp>
        <tr r="CF10" s="2"/>
        <tr r="AV8" s="5"/>
      </tp>
      <tp t="s">
        <v>-</v>
        <stp/>
        <stp>CSNA3_B_0</stp>
        <stp>VIB</stp>
        <tr r="CG10" s="2"/>
        <tr r="AW8" s="5"/>
      </tp>
      <tp>
        <v>1.7221584385763531</v>
        <stp/>
        <stp>RANI3_B_0</stp>
        <stp>VAR</stp>
        <tr r="AV85" s="2"/>
        <tr r="L83" s="5"/>
        <tr r="AV92" s="2"/>
        <tr r="AV91" s="2"/>
        <tr r="AV90" s="2"/>
        <tr r="AV89" s="2"/>
        <tr r="AV88" s="2"/>
        <tr r="AV87" s="2"/>
        <tr r="AV86" s="2"/>
      </tp>
      <tp t="s">
        <v>-</v>
        <stp/>
        <stp>B3SA3_B_0</stp>
        <stp>VEGA</stp>
        <tr r="CE21" s="2"/>
        <tr r="AU19" s="5"/>
      </tp>
      <tp>
        <v>0.86563793752352769</v>
        <stp/>
        <stp>CMIG4_B_0</stp>
        <stp>SEMES</stp>
        <tr r="BT23" s="2"/>
        <tr r="AJ21" s="5"/>
      </tp>
      <tp t="s">
        <v>-</v>
        <stp/>
        <stp>CSNA3_B_0</stp>
        <stp>VEGA</stp>
        <tr r="CE10" s="2"/>
        <tr r="AU8" s="5"/>
      </tp>
      <tp>
        <v>0</v>
        <stp/>
        <stp>WINQ24_F_0</stp>
        <stp>OCP</stp>
        <tr r="BD41" s="2"/>
        <tr r="T39" s="5"/>
      </tp>
      <tp>
        <v>0</v>
        <stp/>
        <stp>WDOQ24_F_0</stp>
        <stp>OCP</stp>
        <tr r="BD54" s="2"/>
        <tr r="T52" s="5"/>
      </tp>
      <tp t="s">
        <v>29/02/2024</v>
        <stp/>
        <stp>WDOH24_F_0</stp>
        <stp>VAL</stp>
        <tr r="BV52" s="2"/>
        <tr r="AL50" s="5"/>
      </tp>
      <tp t="s">
        <v>30/12/1899</v>
        <stp/>
        <stp>WINZ24_F_0</stp>
        <stp>DAT</stp>
        <tr r="D41" s="5"/>
        <tr r="AN43" s="2"/>
      </tp>
      <tp>
        <v>0</v>
        <stp/>
        <stp>WDOH24_F_0</stp>
        <stp>VAR</stp>
        <tr r="AV52" s="2"/>
        <tr r="L50" s="5"/>
      </tp>
      <tp>
        <v>0</v>
        <stp/>
        <stp>WDOM24_F_0</stp>
        <stp>SEM</stp>
        <tr r="BM49" s="2"/>
        <tr r="AC47" s="5"/>
      </tp>
      <tp t="s">
        <v>01/03/2024</v>
        <stp/>
        <stp>WDOH24_F_0</stp>
        <stp>VEN</stp>
        <tr r="BU52" s="2"/>
        <tr r="AK50" s="5"/>
      </tp>
      <tp>
        <v>0</v>
        <stp/>
        <stp>WINM24_F_0</stp>
        <stp>SEM</stp>
        <tr r="BM40" s="2"/>
        <tr r="AC38" s="5"/>
      </tp>
      <tp>
        <v>0</v>
        <stp/>
        <stp>WDOX24_F_0</stp>
        <stp>FEC</stp>
        <tr r="AT56" s="2"/>
        <tr r="J54" s="5"/>
      </tp>
      <tp>
        <v>0</v>
        <stp/>
        <stp>WDON24_F_0</stp>
        <stp>PEX</stp>
        <tr r="AU50" s="2"/>
        <tr r="K48" s="5"/>
      </tp>
      <tp t="s">
        <v>-</v>
        <stp/>
        <stp>WDOH24_F_0</stp>
        <stp>VIA</stp>
        <tr r="CF52" s="2"/>
        <tr r="AV50" s="5"/>
      </tp>
      <tp t="s">
        <v>-</v>
        <stp/>
        <stp>WDOH24_F_0</stp>
        <stp>VIB</stp>
        <tr r="CG52" s="2"/>
        <tr r="AW50" s="5"/>
      </tp>
      <tp>
        <v>0</v>
        <stp/>
        <stp>WDOH24_F_0</stp>
        <stp>VOL</stp>
        <tr r="BC52" s="2"/>
        <tr r="S50" s="5"/>
      </tp>
      <tp>
        <v>0</v>
        <stp/>
        <stp>WDOH24_F_0</stp>
        <stp>VOC</stp>
        <tr r="BF52" s="2"/>
        <tr r="V50" s="5"/>
      </tp>
      <tp t="s">
        <v>00:00:00</v>
        <stp/>
        <stp>WINV24_F_0</stp>
        <stp>HOR</stp>
        <tr r="E42" s="5"/>
        <tr r="AO44" s="2"/>
      </tp>
      <tp>
        <v>0</v>
        <stp/>
        <stp>WDOH24_F_0</stp>
        <stp>VOV</stp>
        <tr r="BG52" s="2"/>
        <tr r="W50" s="5"/>
      </tp>
      <tp t="s">
        <v>00:00:00</v>
        <stp/>
        <stp>WDOV24_F_0</stp>
        <stp>HOR</stp>
        <tr r="E55" s="5"/>
        <tr r="AO57" s="2"/>
      </tp>
      <tp>
        <v>0</v>
        <stp/>
        <stp>WDOK24_F_0</stp>
        <stp>ULT</stp>
        <tr r="F37" s="5"/>
        <tr r="AP39" s="2"/>
      </tp>
      <tp>
        <v>0</v>
        <stp/>
        <stp>WDON24_F_0</stp>
        <stp>PRT</stp>
        <tr r="BJ50" s="2"/>
        <tr r="Z48" s="5"/>
      </tp>
      <tp>
        <v>0</v>
        <stp/>
        <stp>WDOH24_F_0</stp>
        <stp>VPJ</stp>
        <tr r="BL52" s="2"/>
        <tr r="AB50" s="5"/>
      </tp>
      <tp>
        <v>0</v>
        <stp/>
        <stp>WINQ24_F_0</stp>
        <stp>OVD</stp>
        <tr r="BE41" s="2"/>
        <tr r="U39" s="5"/>
      </tp>
      <tp>
        <v>0</v>
        <stp/>
        <stp>WDOQ24_F_0</stp>
        <stp>OVD</stp>
        <tr r="BE54" s="2"/>
        <tr r="U52" s="5"/>
      </tp>
      <tp>
        <v>0</v>
        <stp/>
        <stp>INDM24_F_0</stp>
        <stp>SEM</stp>
        <tr r="AC43" s="5"/>
        <tr r="BM45" s="2"/>
      </tp>
      <tp>
        <v>72872</v>
        <stp/>
        <stp>WDOFUTV_F_0</stp>
        <stp>NEG</stp>
        <tr r="P45" s="5"/>
        <tr r="AZ47" s="2"/>
      </tp>
      <tp t="s">
        <v>-</v>
        <stp/>
        <stp>SUZB3_B_0</stp>
        <stp>DOBRAR</stp>
        <tr r="CH25" s="2"/>
        <tr r="AX23" s="5"/>
      </tp>
      <tp t="s">
        <v>-</v>
        <stp/>
        <stp>TUPY3_B_0</stp>
        <stp>DOBRAR</stp>
        <tr r="CH81" s="2"/>
        <tr r="AX79" s="5"/>
      </tp>
      <tp t="s">
        <v>-</v>
        <stp/>
        <stp>DOLFUT_F_0</stp>
        <stp>VEGA</stp>
        <tr r="CE15" s="2"/>
        <tr r="AU13" s="5"/>
      </tp>
      <tp t="s">
        <v>-</v>
        <stp/>
        <stp>DOLFUT_F_0</stp>
        <stp>VEXT</stp>
        <tr r="CK15" s="2"/>
        <tr r="BA13" s="5"/>
      </tp>
      <tp>
        <v>30.148304598520376</v>
        <stp/>
        <stp>PETR4_B_0</stp>
        <stp>MED</stp>
        <tr r="AX11" s="2"/>
        <tr r="N9" s="5"/>
      </tp>
      <tp>
        <v>0</v>
        <stp/>
        <stp>EGIE3_B_0</stp>
        <stp>PRT</stp>
        <tr r="L37" s="2"/>
      </tp>
      <tp t="s">
        <v>-</v>
        <stp/>
        <stp>ECOR3_B_0</stp>
        <stp>VEN</stp>
        <tr r="BU7" s="2"/>
        <tr r="AK5" s="5"/>
      </tp>
      <tp>
        <v>31.900000000000002</v>
        <stp/>
        <stp>VIVT3_B_0</stp>
        <stp>OCP</stp>
        <tr r="BD9" s="2"/>
        <tr r="T7" s="5"/>
      </tp>
      <tp>
        <v>-4.5772409408772976</v>
        <stp/>
        <stp>PETR4_B_0</stp>
        <stp>MES</stp>
        <tr r="BN11" s="2"/>
        <tr r="AD9" s="5"/>
      </tp>
      <tp>
        <v>9.6815286624203889</v>
        <stp/>
        <stp>BRAP4_B_0</stp>
        <stp>SEMES</stp>
        <tr r="BT30" s="2"/>
        <tr r="AJ28" s="5"/>
      </tp>
      <tp>
        <v>0</v>
        <stp/>
        <stp>CMIG4_B_0</stp>
        <stp>PRT</stp>
        <tr r="L22" s="2"/>
        <tr r="BJ23" s="2"/>
        <tr r="Z21" s="5"/>
      </tp>
      <tp>
        <v>0</v>
        <stp/>
        <stp>MDIA3_B_0</stp>
        <stp>PRT</stp>
        <tr r="BJ78" s="2"/>
        <tr r="Z76" s="5"/>
      </tp>
      <tp>
        <v>-0.80106809078771168</v>
        <stp/>
        <stp>ECOR3_B_0</stp>
        <stp>VAR</stp>
        <tr r="AV7" s="2"/>
        <tr r="L5" s="5"/>
      </tp>
      <tp>
        <v>6.26</v>
        <stp/>
        <stp>MRVE3_B_0</stp>
        <stp>OVD</stp>
        <tr r="BE18" s="2"/>
        <tr r="U16" s="5"/>
      </tp>
      <tp t="s">
        <v>31/12/9999</v>
        <stp/>
        <stp>ECOR3_B_0</stp>
        <stp>VAL</stp>
        <tr r="BV7" s="2"/>
        <tr r="AL5" s="5"/>
      </tp>
      <tp>
        <v>30.46</v>
        <stp/>
        <stp>PETR4_B_0</stp>
        <stp>MAX</stp>
        <tr r="AR11" s="2"/>
        <tr r="H9" s="5"/>
      </tp>
      <tp t="s">
        <v>-</v>
        <stp/>
        <stp>MGLU3_B_0</stp>
        <stp>THETA</stp>
        <tr r="CC35" s="2"/>
        <tr r="AS33" s="5"/>
      </tp>
      <tp t="s">
        <v>-</v>
        <stp/>
        <stp>KEPL3_B_0</stp>
        <stp>VIVH</stp>
        <tr r="CI73" s="2"/>
        <tr r="AY71" s="5"/>
      </tp>
      <tp t="s">
        <v>-</v>
        <stp/>
        <stp>MDIA3_B_0</stp>
        <stp>THETA</stp>
        <tr r="CC78" s="2"/>
        <tr r="AS76" s="5"/>
      </tp>
      <tp t="s">
        <v>-</v>
        <stp/>
        <stp>RCSL3_B_0</stp>
        <stp>VINT</stp>
        <tr r="CJ65" s="2"/>
        <tr r="AZ63" s="5"/>
      </tp>
      <tp t="s">
        <v>-</v>
        <stp/>
        <stp>RAIL3_B_0</stp>
        <stp>VINT</stp>
        <tr r="CJ60" s="2"/>
        <tr r="AZ58" s="5"/>
      </tp>
      <tp t="s">
        <v>-</v>
        <stp/>
        <stp>JALL3_B_0</stp>
        <stp>VIVH</stp>
        <tr r="AY67" s="5"/>
        <tr r="CI69" s="2"/>
      </tp>
      <tp>
        <v>0</v>
        <stp/>
        <stp>RAIL3_B_0</stp>
        <stp>PRT</stp>
        <tr r="L69" s="2"/>
        <tr r="BJ60" s="2"/>
        <tr r="Z58" s="5"/>
      </tp>
      <tp>
        <v>0</v>
        <stp/>
        <stp>RAIZ4_B_0</stp>
        <stp>PEX</stp>
        <tr r="AU77" s="2"/>
        <tr r="K75" s="5"/>
      </tp>
      <tp>
        <v>0</v>
        <stp/>
        <stp>USIM5_B_0</stp>
        <stp>PRT</stp>
        <tr r="L81" s="2"/>
        <tr r="BJ29" s="2"/>
        <tr r="Z27" s="5"/>
      </tp>
      <tp>
        <v>0</v>
        <stp/>
        <stp>CMIN3_B_0</stp>
        <stp>PRT</stp>
        <tr r="L27" s="2"/>
      </tp>
      <tp>
        <v>1600</v>
        <stp/>
        <stp>ECOR3_B_0</stp>
        <stp>VOV</stp>
        <tr r="BG7" s="2"/>
        <tr r="W5" s="5"/>
      </tp>
      <tp>
        <v>10018679</v>
        <stp/>
        <stp>ECOR3_B_0</stp>
        <stp>VOL</stp>
        <tr r="BC7" s="2"/>
        <tr r="S5" s="5"/>
      </tp>
      <tp>
        <v>1000</v>
        <stp/>
        <stp>ECOR3_B_0</stp>
        <stp>VOC</stp>
        <tr r="BF7" s="2"/>
        <tr r="V5" s="5"/>
      </tp>
      <tp>
        <v>0</v>
        <stp/>
        <stp>PRIO3_B_0</stp>
        <stp>PRT</stp>
        <tr r="L64" s="2"/>
      </tp>
      <tp t="s">
        <v>-</v>
        <stp/>
        <stp>ARML3_B_0</stp>
        <stp>VIVH</stp>
        <tr r="CI80" s="2"/>
        <tr r="AY78" s="5"/>
      </tp>
      <tp>
        <v>29.88</v>
        <stp/>
        <stp>PETR4_B_0</stp>
        <stp>MIN</stp>
        <tr r="AS11" s="2"/>
        <tr r="I9" s="5"/>
      </tp>
      <tp>
        <v>0</v>
        <stp/>
        <stp>ARZZ3_B_0</stp>
        <stp>CAB</stp>
        <tr r="BW72" s="2"/>
        <tr r="AM70" s="5"/>
      </tp>
      <tp t="s">
        <v>-</v>
        <stp/>
        <stp>ECOR3_B_0</stp>
        <stp>VIB</stp>
        <tr r="CG7" s="2"/>
        <tr r="AW5" s="5"/>
      </tp>
      <tp t="s">
        <v>-</v>
        <stp/>
        <stp>ECOR3_B_0</stp>
        <stp>VIA</stp>
        <tr r="CF7" s="2"/>
        <tr r="AV5" s="5"/>
      </tp>
      <tp>
        <v>27.040000000000003</v>
        <stp/>
        <stp>MULT3_B_0</stp>
        <stp>ULT</stp>
        <tr r="K58" s="2"/>
      </tp>
      <tp t="s">
        <v>-</v>
        <stp/>
        <stp>CIEL3_B_0</stp>
        <stp>VIVH</stp>
        <tr r="CI8" s="2"/>
        <tr r="AY6" s="5"/>
      </tp>
      <tp t="s">
        <v>-</v>
        <stp/>
        <stp>CAML3_B_0</stp>
        <stp>VIVH</stp>
        <tr r="CI83" s="2"/>
        <tr r="AY81" s="5"/>
      </tp>
      <tp t="s">
        <v>-</v>
        <stp/>
        <stp>DOLPT_E_0</stp>
        <stp>RHO</stp>
        <tr r="CD16" s="2"/>
        <tr r="AT14" s="5"/>
      </tp>
      <tp>
        <v>8.7800000000000011</v>
        <stp/>
        <stp>MGLU3_B_0</stp>
        <stp>ULT</stp>
        <tr r="K52" s="2"/>
        <tr r="F33" s="5"/>
        <tr r="AP35" s="2"/>
      </tp>
      <tp t="s">
        <v>-</v>
        <stp/>
        <stp>CMIG4_B_0</stp>
        <stp>DELTA</stp>
        <tr r="CA23" s="2"/>
        <tr r="AQ21" s="5"/>
      </tp>
      <tp>
        <v>6.2</v>
        <stp/>
        <stp>MRVE3_B_0</stp>
        <stp>OCP</stp>
        <tr r="BD18" s="2"/>
        <tr r="T16" s="5"/>
      </tp>
      <tp>
        <v>15.3</v>
        <stp/>
        <stp>SMTO3_B_0</stp>
        <stp>MIN</stp>
        <tr r="I64" s="5"/>
        <tr r="AS66" s="2"/>
      </tp>
      <tp>
        <v>3.8521748853852151</v>
        <stp/>
        <stp>ECOR3_B_0</stp>
        <stp>SEMES</stp>
        <tr r="BT7" s="2"/>
        <tr r="AJ5" s="5"/>
      </tp>
      <tp t="s">
        <v>-</v>
        <stp/>
        <stp>MRVE3_B_0</stp>
        <stp>THETA</stp>
        <tr r="CC18" s="2"/>
        <tr r="AS16" s="5"/>
      </tp>
      <tp t="s">
        <v>-</v>
        <stp/>
        <stp>MRFG3_B_0</stp>
        <stp>THETA</stp>
        <tr r="AS66" s="5"/>
        <tr r="CC68" s="2"/>
      </tp>
      <tp>
        <v>5.411232807710503</v>
        <stp/>
        <stp>BBDC4_B_0</stp>
        <stp>SEMES</stp>
        <tr r="BT27" s="2"/>
        <tr r="AJ25" s="5"/>
      </tp>
      <tp>
        <v>0</v>
        <stp/>
        <stp>MDIA3_B_0</stp>
        <stp>PEX</stp>
        <tr r="AU78" s="2"/>
        <tr r="K76" s="5"/>
      </tp>
      <tp>
        <v>0</v>
        <stp/>
        <stp>CMIG4_B_0</stp>
        <stp>PEX</stp>
        <tr r="AU23" s="2"/>
        <tr r="K21" s="5"/>
      </tp>
      <tp>
        <v>32.5</v>
        <stp/>
        <stp>VIVT3_B_0</stp>
        <stp>OVD</stp>
        <tr r="BE9" s="2"/>
        <tr r="U7" s="5"/>
      </tp>
      <tp t="s">
        <v>-</v>
        <stp/>
        <stp>ARML3_B_0</stp>
        <stp>VINT</stp>
        <tr r="CJ80" s="2"/>
        <tr r="AZ78" s="5"/>
      </tp>
      <tp>
        <v>10018679</v>
        <stp/>
        <stp>ECOR3_B_0</stp>
        <stp>VPJ</stp>
        <tr r="BL7" s="2"/>
        <tr r="AB5" s="5"/>
      </tp>
      <tp>
        <v>0</v>
        <stp/>
        <stp>SUZB3_B_0</stp>
        <stp>CAB</stp>
        <tr r="BW25" s="2"/>
        <tr r="AM23" s="5"/>
      </tp>
      <tp t="s">
        <v>-</v>
        <stp/>
        <stp>CAML3_B_0</stp>
        <stp>VINT</stp>
        <tr r="CJ83" s="2"/>
        <tr r="AZ81" s="5"/>
      </tp>
      <tp>
        <v>2.5900000000000003</v>
        <stp/>
        <stp>JALL3_B_0</stp>
        <stp>ULT</stp>
        <tr r="AP69" s="2"/>
        <tr r="F67" s="5"/>
      </tp>
      <tp t="s">
        <v>-</v>
        <stp/>
        <stp>CIEL3_B_0</stp>
        <stp>VINT</stp>
        <tr r="CJ8" s="2"/>
        <tr r="AZ6" s="5"/>
      </tp>
      <tp>
        <v>15.61</v>
        <stp/>
        <stp>SMTO3_B_0</stp>
        <stp>MAX</stp>
        <tr r="H64" s="5"/>
        <tr r="AR66" s="2"/>
      </tp>
      <tp t="s">
        <v>-</v>
        <stp/>
        <stp>DXCO3_B_0</stp>
        <stp>DELTA</stp>
        <tr r="CA75" s="2"/>
        <tr r="AQ73" s="5"/>
      </tp>
      <tp>
        <v>15.444736542619779</v>
        <stp/>
        <stp>SMTO3_B_0</stp>
        <stp>MED</stp>
        <tr r="N64" s="5"/>
        <tr r="AX66" s="2"/>
      </tp>
      <tp>
        <v>-11.002304147465429</v>
        <stp/>
        <stp>SMTO3_B_0</stp>
        <stp>MES</stp>
        <tr r="AD64" s="5"/>
        <tr r="BN66" s="2"/>
      </tp>
      <tp t="s">
        <v>-</v>
        <stp/>
        <stp>KEPL3_B_0</stp>
        <stp>VINT</stp>
        <tr r="CJ73" s="2"/>
        <tr r="AZ71" s="5"/>
      </tp>
      <tp>
        <v>0</v>
        <stp/>
        <stp>USIM5_B_0</stp>
        <stp>PEX</stp>
        <tr r="AU29" s="2"/>
        <tr r="K27" s="5"/>
      </tp>
      <tp>
        <v>0</v>
        <stp/>
        <stp>RAIZ4_B_0</stp>
        <stp>PRT</stp>
        <tr r="L67" s="2"/>
        <tr r="BJ77" s="2"/>
        <tr r="Z75" s="5"/>
      </tp>
      <tp>
        <v>7.3237241916634206</v>
        <stp/>
        <stp>EMBR3_B_0</stp>
        <stp>SEMES</stp>
        <tr r="BT26" s="2"/>
        <tr r="AJ24" s="5"/>
      </tp>
      <tp t="s">
        <v>-</v>
        <stp/>
        <stp>JALL3_B_0</stp>
        <stp>VINT</stp>
        <tr r="AZ67" s="5"/>
        <tr r="CJ69" s="2"/>
      </tp>
      <tp>
        <v>12.47</v>
        <stp/>
        <stp>CPLE6_B_0</stp>
        <stp>ULT</stp>
        <tr r="K24" s="2"/>
      </tp>
      <tp>
        <v>0</v>
        <stp/>
        <stp>RAIL3_B_0</stp>
        <stp>PEX</stp>
        <tr r="AU60" s="2"/>
        <tr r="K58" s="5"/>
      </tp>
      <tp>
        <v>59.75</v>
        <stp/>
        <stp>VALE3_B_0</stp>
        <stp>ULT</stp>
        <tr r="K82" s="2"/>
        <tr r="F10" s="5"/>
        <tr r="AP12" s="2"/>
      </tp>
      <tp t="s">
        <v>-</v>
        <stp/>
        <stp>RCSL3_B_0</stp>
        <stp>VIVH</stp>
        <tr r="CI65" s="2"/>
        <tr r="AY63" s="5"/>
      </tp>
      <tp t="s">
        <v>-</v>
        <stp/>
        <stp>RAIL3_B_0</stp>
        <stp>VIVH</stp>
        <tr r="CI60" s="2"/>
        <tr r="AY58" s="5"/>
      </tp>
      <tp>
        <v>0</v>
        <stp/>
        <stp>WINQ24_F_0</stp>
        <stp>NEG</stp>
        <tr r="AZ41" s="2"/>
        <tr r="P39" s="5"/>
      </tp>
      <tp>
        <v>0</v>
        <stp/>
        <stp>WDOQ24_F_0</stp>
        <stp>NEG</stp>
        <tr r="AZ54" s="2"/>
        <tr r="P52" s="5"/>
      </tp>
      <tp t="s">
        <v>-</v>
        <stp/>
        <stp>WDOM24_F_0</stp>
        <stp>RHO</stp>
        <tr r="CD49" s="2"/>
        <tr r="AT47" s="5"/>
      </tp>
      <tp t="s">
        <v>-</v>
        <stp/>
        <stp>WINM24_F_0</stp>
        <stp>RHO</stp>
        <tr r="AT38" s="5"/>
        <tr r="CD40" s="2"/>
      </tp>
      <tp>
        <v>0</v>
        <stp/>
        <stp>WINJ24_F_0</stp>
        <stp>ULT</stp>
        <tr r="AP38" s="2"/>
        <tr r="F36" s="5"/>
      </tp>
      <tp>
        <v>0</v>
        <stp/>
        <stp>WDOJ24_F_0</stp>
        <stp>ULT</stp>
        <tr r="F49" s="5"/>
        <tr r="AP51" s="2"/>
      </tp>
      <tp>
        <v>17.45</v>
        <stp/>
        <stp>KLBN11_B_0</stp>
        <stp>ULT</stp>
        <tr r="K49" s="2"/>
        <tr r="F80" s="5"/>
        <tr r="AP82" s="2"/>
      </tp>
      <tp t="s">
        <v>NONE</v>
        <stp/>
        <stp>WINZ24_F_0</stp>
        <stp>EST</stp>
        <tr r="BX43" s="2"/>
        <tr r="AN41" s="5"/>
      </tp>
      <tp t="s">
        <v>-</v>
        <stp/>
        <stp>INDM24_F_0</stp>
        <stp>RHO</stp>
        <tr r="AT43" s="5"/>
        <tr r="CD45" s="2"/>
      </tp>
      <tp>
        <v>0</v>
        <stp/>
        <stp>WDON24_F_0</stp>
        <stp>QTE</stp>
        <tr r="BK50" s="2"/>
        <tr r="AA48" s="5"/>
      </tp>
      <tp>
        <v>0</v>
        <stp/>
        <stp>WDON24_F_0</stp>
        <stp>QTT</stp>
        <tr r="BB50" s="2"/>
        <tr r="R48" s="5"/>
      </tp>
      <tp>
        <v>0</v>
        <stp/>
        <stp>WDON24_F_0</stp>
        <stp>QUL</stp>
        <tr r="BA50" s="2"/>
        <tr r="Q48" s="5"/>
      </tp>
      <tp>
        <v>5489</v>
        <stp/>
        <stp>WDOFUTV_F_0</stp>
        <stp>OCP</stp>
        <tr r="T45" s="5"/>
        <tr r="BD47" s="2"/>
      </tp>
      <tp t="s">
        <v>-</v>
        <stp/>
        <stp>TTEN3_B_0</stp>
        <stp>DOBRAR</stp>
        <tr r="CH84" s="2"/>
        <tr r="AX82" s="5"/>
      </tp>
      <tp>
        <v>5489.5</v>
        <stp/>
        <stp>WDOFUTV_F_0</stp>
        <stp>OVD</stp>
        <tr r="U45" s="5"/>
        <tr r="BE47" s="2"/>
      </tp>
      <tp t="s">
        <v>-</v>
        <stp/>
        <stp>ITUB4_B_0</stp>
        <stp>DOBRAR</stp>
        <tr r="CH32" s="2"/>
        <tr r="AX30" s="5"/>
      </tp>
      <tp t="s">
        <v>-</v>
        <stp/>
        <stp>ITSA4_B_0</stp>
        <stp>DOBRAR</stp>
        <tr r="CH31" s="2"/>
        <tr r="AX29" s="5"/>
      </tp>
      <tp t="s">
        <v>-</v>
        <stp/>
        <stp>DOLPRO_#_0</stp>
        <stp>VEXT</stp>
        <tr r="BA44" s="5"/>
        <tr r="CK46" s="2"/>
      </tp>
      <tp t="s">
        <v>-</v>
        <stp/>
        <stp>DOLPRO_#_0</stp>
        <stp>VEGA</stp>
        <tr r="AU44" s="5"/>
        <tr r="CE46" s="2"/>
      </tp>
      <tp>
        <v>0</v>
        <stp/>
        <stp>JBSS3_B_0</stp>
        <stp>MES</stp>
        <tr r="AD62" s="5"/>
        <tr r="BN64" s="2"/>
      </tp>
      <tp>
        <v>0</v>
        <stp/>
        <stp>JBSS3_B_0</stp>
        <stp>MED</stp>
        <tr r="AX64" s="2"/>
        <tr r="N62" s="5"/>
      </tp>
      <tp t="s">
        <v>-</v>
        <stp/>
        <stp>JBSS3_B_0</stp>
        <stp>THETA</stp>
        <tr r="CC64" s="2"/>
        <tr r="AS62" s="5"/>
      </tp>
      <tp>
        <v>-1.4591728060255504</v>
        <stp/>
        <stp>BRFS3_B_0</stp>
        <stp>SEMES</stp>
        <tr r="AJ31" s="5"/>
        <tr r="BT33" s="2"/>
      </tp>
      <tp t="s">
        <v>-</v>
        <stp/>
        <stp>ITSA4_B_0</stp>
        <stp>BLACK</stp>
        <tr r="BY31" s="2"/>
        <tr r="AO29" s="5"/>
      </tp>
      <tp t="s">
        <v>-</v>
        <stp/>
        <stp>ITUB4_B_0</stp>
        <stp>BLACK</stp>
        <tr r="BY32" s="2"/>
        <tr r="AO30" s="5"/>
      </tp>
      <tp t="s">
        <v>-</v>
        <stp/>
        <stp>CAML3_B_0</stp>
        <stp>DELTA</stp>
        <tr r="CA83" s="2"/>
        <tr r="AQ81" s="5"/>
      </tp>
      <tp t="s">
        <v>-</v>
        <stp/>
        <stp>JALL3_B_0</stp>
        <stp>THETA</stp>
        <tr r="AS67" s="5"/>
        <tr r="CC69" s="2"/>
      </tp>
      <tp>
        <v>0</v>
        <stp/>
        <stp>JBSS3_B_0</stp>
        <stp>MAX</stp>
        <tr r="AR64" s="2"/>
        <tr r="H62" s="5"/>
      </tp>
      <tp>
        <v>0</v>
        <stp/>
        <stp>CSNA3_B_0</stp>
        <stp>PRT</stp>
        <tr r="L72" s="2"/>
        <tr r="BJ10" s="2"/>
        <tr r="Z8" s="5"/>
      </tp>
      <tp>
        <v>2778</v>
        <stp/>
        <stp>RAPT4_B_0</stp>
        <stp>NEG</stp>
        <tr r="AZ76" s="2"/>
        <tr r="P74" s="5"/>
      </tp>
      <tp t="s">
        <v>-</v>
        <stp/>
        <stp>CMIG4_B_0</stp>
        <stp>VEXT</stp>
        <tr r="CK23" s="2"/>
        <tr r="BA21" s="5"/>
      </tp>
      <tp>
        <v>0</v>
        <stp/>
        <stp>RENT3_B_0</stp>
        <stp>PEX</stp>
        <tr r="AU24" s="2"/>
        <tr r="K22" s="5"/>
      </tp>
      <tp>
        <v>1818</v>
        <stp/>
        <stp>TUPY3_B_0</stp>
        <stp>NEG</stp>
        <tr r="AZ81" s="2"/>
        <tr r="P79" s="5"/>
      </tp>
      <tp>
        <v>5.4976000000000003</v>
        <stp/>
        <stp>DOLPT_E_0</stp>
        <stp>ULT</stp>
        <tr r="F14" s="5"/>
        <tr r="AP16" s="2"/>
      </tp>
      <tp t="s">
        <v>-</v>
        <stp/>
        <stp>MGLU3_B_0</stp>
        <stp>RHO</stp>
        <tr r="CD35" s="2"/>
        <tr r="AT33" s="5"/>
      </tp>
      <tp t="s">
        <v>-</v>
        <stp/>
        <stp>CIEL3_B_0</stp>
        <stp>DELTA</stp>
        <tr r="CA8" s="2"/>
        <tr r="AQ6" s="5"/>
      </tp>
      <tp>
        <v>0</v>
        <stp/>
        <stp>JBSS3_B_0</stp>
        <stp>MIN</stp>
        <tr r="AS64" s="2"/>
        <tr r="I62" s="5"/>
      </tp>
      <tp t="s">
        <v>30/12/1899</v>
        <stp/>
        <stp>ARZZ3_B_0</stp>
        <stp>DAT</stp>
        <tr r="D70" s="5"/>
        <tr r="AN72" s="2"/>
      </tp>
      <tp>
        <v>0</v>
        <stp/>
        <stp>RANI3_B_0</stp>
        <stp>PRT</stp>
        <tr r="BJ85" s="2"/>
        <tr r="Z83" s="5"/>
        <tr r="BJ92" s="2"/>
        <tr r="BJ91" s="2"/>
        <tr r="BJ90" s="2"/>
        <tr r="BJ87" s="2"/>
        <tr r="BJ89" s="2"/>
        <tr r="BJ88" s="2"/>
        <tr r="BJ86" s="2"/>
      </tp>
      <tp t="s">
        <v>17:07:54</v>
        <stp/>
        <stp>VIVT3_B_0</stp>
        <stp>HOR</stp>
        <tr r="E7" s="5"/>
        <tr r="AO9" s="2"/>
      </tp>
      <tp t="s">
        <v>-</v>
        <stp/>
        <stp>MRFG3_B_0</stp>
        <stp>VEXT</stp>
        <tr r="CK68" s="2"/>
        <tr r="BA66" s="5"/>
      </tp>
      <tp>
        <v>1338900</v>
        <stp/>
        <stp>ECOR3_B_0</stp>
        <stp>QTT</stp>
        <tr r="BB7" s="2"/>
        <tr r="R5" s="5"/>
      </tp>
      <tp>
        <v>0</v>
        <stp/>
        <stp>ECOR3_B_0</stp>
        <stp>QTE</stp>
        <tr r="BK7" s="2"/>
        <tr r="AA5" s="5"/>
      </tp>
      <tp>
        <v>0</v>
        <stp/>
        <stp>RENT3_B_0</stp>
        <stp>PRT</stp>
        <tr r="L50" s="2"/>
        <tr r="BJ24" s="2"/>
        <tr r="Z22" s="5"/>
      </tp>
      <tp t="s">
        <v>-</v>
        <stp/>
        <stp>CRFB3_B_0</stp>
        <stp>DELTA</stp>
        <tr r="CA63" s="2"/>
        <tr r="AQ61" s="5"/>
      </tp>
      <tp t="s">
        <v>-</v>
        <stp/>
        <stp>MRFG3_B_0</stp>
        <stp>VEGA</stp>
        <tr r="AU66" s="5"/>
        <tr r="CE68" s="2"/>
      </tp>
      <tp>
        <v>0</v>
        <stp/>
        <stp>ECOR3_B_0</stp>
        <stp>QUL</stp>
        <tr r="BA7" s="2"/>
        <tr r="Q5" s="5"/>
      </tp>
      <tp t="s">
        <v>-</v>
        <stp/>
        <stp>CSNA3_B_0</stp>
        <stp>DELTA</stp>
        <tr r="CA10" s="2"/>
        <tr r="AQ8" s="5"/>
      </tp>
      <tp>
        <v>-6.2924400181077438</v>
        <stp/>
        <stp>BBAS3_B_0</stp>
        <stp>SEMES</stp>
        <tr r="BT14" s="2"/>
        <tr r="AJ12" s="5"/>
      </tp>
      <tp t="s">
        <v>-</v>
        <stp/>
        <stp>CSAN3_B_0</stp>
        <stp>DELTA</stp>
        <tr r="CA62" s="2"/>
        <tr r="AQ60" s="5"/>
      </tp>
      <tp>
        <v>0</v>
        <stp/>
        <stp>CSNA3_B_0</stp>
        <stp>PEX</stp>
        <tr r="AU10" s="2"/>
        <tr r="K8" s="5"/>
      </tp>
      <tp>
        <v>12.797619047619039</v>
        <stp/>
        <stp>HBSA3_B_0</stp>
        <stp>MES</stp>
        <tr r="BN58" s="2"/>
        <tr r="AD56" s="5"/>
      </tp>
      <tp>
        <v>-4.0104620749782116</v>
        <stp/>
        <stp>ITSA4_B_0</stp>
        <stp>MES</stp>
        <tr r="BN31" s="2"/>
        <tr r="AD29" s="5"/>
      </tp>
      <tp>
        <v>-6.3432835820895495</v>
        <stp/>
        <stp>B3SA3_B_0</stp>
        <stp>MES</stp>
        <tr r="BN21" s="2"/>
        <tr r="AD19" s="5"/>
      </tp>
      <tp>
        <v>-17.980295566502473</v>
        <stp/>
        <stp>GFSA3_B_0</stp>
        <stp>MES</stp>
        <tr r="BN22" s="2"/>
        <tr r="AD20" s="5"/>
      </tp>
      <tp>
        <v>11.066239584077632</v>
        <stp/>
        <stp>ITSA4_B_0</stp>
        <stp>MED</stp>
        <tr r="AX31" s="2"/>
        <tr r="N29" s="5"/>
      </tp>
      <tp>
        <v>3.7490305276251683</v>
        <stp/>
        <stp>HBSA3_B_0</stp>
        <stp>MED</stp>
        <tr r="AX58" s="2"/>
        <tr r="N56" s="5"/>
      </tp>
      <tp>
        <v>6.6044301959835474</v>
        <stp/>
        <stp>GFSA3_B_0</stp>
        <stp>MED</stp>
        <tr r="AX22" s="2"/>
        <tr r="N20" s="5"/>
      </tp>
      <tp>
        <v>12.574638959843517</v>
        <stp/>
        <stp>B3SA3_B_0</stp>
        <stp>MED</stp>
        <tr r="AX21" s="2"/>
        <tr r="N19" s="5"/>
      </tp>
      <tp t="s">
        <v>-</v>
        <stp/>
        <stp>JALL3_B_0</stp>
        <stp>RHO</stp>
        <tr r="CD69" s="2"/>
        <tr r="AT67" s="5"/>
      </tp>
      <tp>
        <v>1.47</v>
        <stp/>
        <stp>RCSL3_B_0</stp>
        <stp>MIN</stp>
        <tr r="AS65" s="2"/>
        <tr r="I63" s="5"/>
      </tp>
      <tp t="s">
        <v>-</v>
        <stp/>
        <stp>BBDC4_B_0</stp>
        <stp>GAMA</stp>
        <tr r="CB27" s="2"/>
        <tr r="AR25" s="5"/>
      </tp>
      <tp t="s">
        <v>14/10/2025</v>
        <stp/>
        <stp>SUZB3_B_0</stp>
        <stp>DAT</stp>
        <tr r="D23" s="5"/>
        <tr r="AN25" s="2"/>
      </tp>
      <tp>
        <v>12.73</v>
        <stp/>
        <stp>B3SA3_B_0</stp>
        <stp>MAX</stp>
        <tr r="AR21" s="2"/>
        <tr r="H19" s="5"/>
      </tp>
      <tp>
        <v>6.72</v>
        <stp/>
        <stp>GFSA3_B_0</stp>
        <stp>MAX</stp>
        <tr r="AR22" s="2"/>
        <tr r="H20" s="5"/>
      </tp>
      <tp>
        <v>3.8</v>
        <stp/>
        <stp>HBSA3_B_0</stp>
        <stp>MAX</stp>
        <tr r="AR58" s="2"/>
        <tr r="H56" s="5"/>
      </tp>
      <tp>
        <v>11.15</v>
        <stp/>
        <stp>ITSA4_B_0</stp>
        <stp>MAX</stp>
        <tr r="AR31" s="2"/>
        <tr r="H29" s="5"/>
      </tp>
      <tp>
        <v>35.102040816326522</v>
        <stp/>
        <stp>BEEF3_B_0</stp>
        <stp>SEMES</stp>
        <tr r="AJ65" s="5"/>
        <tr r="BT67" s="2"/>
      </tp>
      <tp>
        <v>1.7129356172475056</v>
        <stp/>
        <stp>BRAP4_B_0</stp>
        <stp>TRIM</stp>
        <tr r="BS30" s="2"/>
        <tr r="AI28" s="5"/>
      </tp>
      <tp>
        <v>6.6000000000000005</v>
        <stp/>
        <stp>BRKM5_B_0</stp>
        <stp>ULT</stp>
        <tr r="K17" s="2"/>
      </tp>
      <tp t="s">
        <v>-</v>
        <stp/>
        <stp>CMIG4_B_0</stp>
        <stp>VEGA</stp>
        <tr r="CE23" s="2"/>
        <tr r="AU21" s="5"/>
      </tp>
      <tp>
        <v>0</v>
        <stp/>
        <stp>RANI3_B_0</stp>
        <stp>PEX</stp>
        <tr r="AU85" s="2"/>
        <tr r="K83" s="5"/>
        <tr r="AU92" s="2"/>
        <tr r="AU91" s="2"/>
        <tr r="AU90" s="2"/>
        <tr r="AU89" s="2"/>
        <tr r="AU88" s="2"/>
        <tr r="AU87" s="2"/>
        <tr r="AU86" s="2"/>
      </tp>
      <tp t="s">
        <v>-</v>
        <stp/>
        <stp>VALE3_B_0</stp>
        <stp>RHO</stp>
        <tr r="AT10" s="5"/>
        <tr r="CD12" s="2"/>
      </tp>
      <tp>
        <v>1.54</v>
        <stp/>
        <stp>RCSL3_B_0</stp>
        <stp>MAX</stp>
        <tr r="AR65" s="2"/>
        <tr r="H63" s="5"/>
      </tp>
      <tp t="s">
        <v>-</v>
        <stp/>
        <stp>CYRE3_B_0</stp>
        <stp>DELTA</stp>
        <tr r="CA28" s="2"/>
        <tr r="AQ26" s="5"/>
      </tp>
      <tp>
        <v>-1.6949152542372818</v>
        <stp/>
        <stp>VAMO3_B_0</stp>
        <stp>SEM</stp>
        <tr r="BM74" s="2"/>
        <tr r="AC72" s="5"/>
      </tp>
      <tp t="s">
        <v>17:07:55</v>
        <stp/>
        <stp>MRVE3_B_0</stp>
        <stp>HOR</stp>
        <tr r="E16" s="5"/>
        <tr r="AO18" s="2"/>
      </tp>
      <tp>
        <v>6.49</v>
        <stp/>
        <stp>GFSA3_B_0</stp>
        <stp>MIN</stp>
        <tr r="AS22" s="2"/>
        <tr r="I20" s="5"/>
      </tp>
      <tp>
        <v>12.52</v>
        <stp/>
        <stp>B3SA3_B_0</stp>
        <stp>MIN</stp>
        <tr r="AS21" s="2"/>
        <tr r="I19" s="5"/>
      </tp>
      <tp>
        <v>10.96</v>
        <stp/>
        <stp>ITSA4_B_0</stp>
        <stp>MIN</stp>
        <tr r="AS31" s="2"/>
        <tr r="I29" s="5"/>
      </tp>
      <tp>
        <v>3.66</v>
        <stp/>
        <stp>HBSA3_B_0</stp>
        <stp>MIN</stp>
        <tr r="AS58" s="2"/>
        <tr r="I56" s="5"/>
      </tp>
      <tp>
        <v>1.4929083665338645</v>
        <stp/>
        <stp>RCSL3_B_0</stp>
        <stp>MED</stp>
        <tr r="AX65" s="2"/>
        <tr r="N63" s="5"/>
      </tp>
      <tp>
        <v>0.40899795501021613</v>
        <stp/>
        <stp>CAML3_B_0</stp>
        <stp>SEM</stp>
        <tr r="BM83" s="2"/>
        <tr r="AC81" s="5"/>
      </tp>
      <tp>
        <v>-0.65414010613089679</v>
        <stp/>
        <stp>ARML3_B_0</stp>
        <stp>SEM</stp>
        <tr r="BM80" s="2"/>
        <tr r="AC78" s="5"/>
      </tp>
      <tp>
        <v>2285</v>
        <stp/>
        <stp>KEPL3_B_0</stp>
        <stp>NEG</stp>
        <tr r="AZ73" s="2"/>
        <tr r="P71" s="5"/>
      </tp>
      <tp>
        <v>-5.7692307692307745</v>
        <stp/>
        <stp>RCSL3_B_0</stp>
        <stp>MES</stp>
        <tr r="BN65" s="2"/>
        <tr r="AD63" s="5"/>
      </tp>
      <tp>
        <v>-13.491828251983485</v>
        <stp/>
        <stp>B3SA3_B_0</stp>
        <stp>SEMES</stp>
        <tr r="BT21" s="2"/>
        <tr r="AJ19" s="5"/>
      </tp>
      <tp t="s">
        <v>29/12/2024</v>
        <stp/>
        <stp>WDON24_F_0</stp>
        <stp>VAL</stp>
        <tr r="BV50" s="2"/>
        <tr r="AL48" s="5"/>
      </tp>
      <tp>
        <v>0</v>
        <stp/>
        <stp>WDOU24_F_0</stp>
        <stp>MAX</stp>
        <tr r="AR55" s="2"/>
        <tr r="H53" s="5"/>
      </tp>
      <tp>
        <v>0</v>
        <stp/>
        <stp>WDON24_F_0</stp>
        <stp>VAR</stp>
        <tr r="AV50" s="2"/>
        <tr r="L48" s="5"/>
      </tp>
      <tp>
        <v>0</v>
        <stp/>
        <stp>WDOK24_F_0</stp>
        <stp>SEM</stp>
        <tr r="BM39" s="2"/>
        <tr r="AC37" s="5"/>
      </tp>
      <tp t="s">
        <v>29/12/2024</v>
        <stp/>
        <stp>WDON24_F_0</stp>
        <stp>VEN</stp>
        <tr r="BU50" s="2"/>
        <tr r="AK48" s="5"/>
      </tp>
      <tp>
        <v>0</v>
        <stp/>
        <stp>WINV24_F_0</stp>
        <stp>NEG</stp>
        <tr r="AZ44" s="2"/>
        <tr r="P42" s="5"/>
      </tp>
      <tp>
        <v>0</v>
        <stp/>
        <stp>WDOU24_F_0</stp>
        <stp>MED</stp>
        <tr r="AX55" s="2"/>
        <tr r="N53" s="5"/>
      </tp>
      <tp>
        <v>0</v>
        <stp/>
        <stp>WDOV24_F_0</stp>
        <stp>NEG</stp>
        <tr r="AZ57" s="2"/>
        <tr r="P55" s="5"/>
      </tp>
      <tp>
        <v>0</v>
        <stp/>
        <stp>WDOH24_F_0</stp>
        <stp>PEX</stp>
        <tr r="AU52" s="2"/>
        <tr r="K50" s="5"/>
      </tp>
      <tp>
        <v>0</v>
        <stp/>
        <stp>WDOU24_F_0</stp>
        <stp>MES</stp>
        <tr r="BN55" s="2"/>
        <tr r="AD53" s="5"/>
      </tp>
      <tp t="s">
        <v>-</v>
        <stp/>
        <stp>WDOJ24_F_0</stp>
        <stp>RHO</stp>
        <tr r="CD51" s="2"/>
        <tr r="AT49" s="5"/>
      </tp>
      <tp t="s">
        <v>-</v>
        <stp/>
        <stp>WINJ24_F_0</stp>
        <stp>RHO</stp>
        <tr r="CD38" s="2"/>
        <tr r="AT36" s="5"/>
      </tp>
      <tp>
        <v>0</v>
        <stp/>
        <stp>WDOU24_F_0</stp>
        <stp>MIN</stp>
        <tr r="AS55" s="2"/>
        <tr r="I53" s="5"/>
      </tp>
      <tp t="s">
        <v>-</v>
        <stp/>
        <stp>WDON24_F_0</stp>
        <stp>VIA</stp>
        <tr r="CF50" s="2"/>
        <tr r="AV48" s="5"/>
      </tp>
      <tp t="s">
        <v>-</v>
        <stp/>
        <stp>WDON24_F_0</stp>
        <stp>VIB</stp>
        <tr r="CG50" s="2"/>
        <tr r="AW48" s="5"/>
      </tp>
      <tp>
        <v>0</v>
        <stp/>
        <stp>WDON24_F_0</stp>
        <stp>VOL</stp>
        <tr r="BC50" s="2"/>
        <tr r="S48" s="5"/>
      </tp>
      <tp>
        <v>0</v>
        <stp/>
        <stp>WDON24_F_0</stp>
        <stp>VOC</stp>
        <tr r="BF50" s="2"/>
        <tr r="V48" s="5"/>
      </tp>
      <tp>
        <v>0</v>
        <stp/>
        <stp>WDON24_F_0</stp>
        <stp>VOV</stp>
        <tr r="BG50" s="2"/>
        <tr r="W48" s="5"/>
      </tp>
      <tp>
        <v>0</v>
        <stp/>
        <stp>WINM24_F_0</stp>
        <stp>ULT</stp>
        <tr r="AP40" s="2"/>
        <tr r="F38" s="5"/>
      </tp>
      <tp>
        <v>0</v>
        <stp/>
        <stp>WDOM24_F_0</stp>
        <stp>ULT</stp>
        <tr r="F47" s="5"/>
        <tr r="AP49" s="2"/>
      </tp>
      <tp>
        <v>0</v>
        <stp/>
        <stp>INDM24_F_0</stp>
        <stp>ULT</stp>
        <tr r="AP45" s="2"/>
        <tr r="F43" s="5"/>
      </tp>
      <tp>
        <v>0</v>
        <stp/>
        <stp>WDOH24_F_0</stp>
        <stp>PRT</stp>
        <tr r="BJ52" s="2"/>
        <tr r="Z50" s="5"/>
      </tp>
      <tp>
        <v>3.377209477247098</v>
        <stp/>
        <stp>DOLPT_E_0</stp>
        <stp>TRIM</stp>
        <tr r="BS16" s="2"/>
        <tr r="AI14" s="5"/>
      </tp>
      <tp>
        <v>0</v>
        <stp/>
        <stp>WDON24_F_0</stp>
        <stp>VPJ</stp>
        <tr r="BL50" s="2"/>
        <tr r="AB48" s="5"/>
      </tp>
      <tp>
        <v>22.880000000000003</v>
        <stp/>
        <stp>IGTI11_B_0</stp>
        <stp>ULT</stp>
        <tr r="K44" s="2"/>
      </tp>
      <tp t="s">
        <v>-</v>
        <stp/>
        <stp>KLBN11_B_0</stp>
        <stp>RHO</stp>
        <tr r="CD82" s="2"/>
        <tr r="AT80" s="5"/>
      </tp>
      <tp>
        <v>48.04</v>
        <stp/>
        <stp>ENGI11_B_0</stp>
        <stp>ULT</stp>
        <tr r="K35" s="2"/>
      </tp>
      <tp t="s">
        <v>-</v>
        <stp/>
        <stp>CSNA3_B_0</stp>
        <stp>DOBRAR</stp>
        <tr r="CH10" s="2"/>
        <tr r="AX8" s="5"/>
      </tp>
      <tp t="s">
        <v>-</v>
        <stp/>
        <stp>USIM5_B_0</stp>
        <stp>DOBRAR</stp>
        <tr r="CH29" s="2"/>
        <tr r="AX27" s="5"/>
      </tp>
      <tp t="s">
        <v>09:23:34</v>
        <stp/>
        <stp>WDOFUTV_F_0</stp>
        <stp>HOR</stp>
        <tr r="E45" s="5"/>
        <tr r="AO47" s="2"/>
      </tp>
      <tp t="s">
        <v>-</v>
        <stp/>
        <stp>ASAI3_B_0</stp>
        <stp>DOBRAR</stp>
        <tr r="CH61" s="2"/>
        <tr r="AX59" s="5"/>
      </tp>
      <tp t="s">
        <v>-</v>
        <stp/>
        <stp>CSAN3_B_0</stp>
        <stp>DOBRAR</stp>
        <tr r="CH62" s="2"/>
        <tr r="AX60" s="5"/>
      </tp>
      <tp>
        <v>13.575268817204309</v>
        <stp/>
        <stp>CSNA3_B_0</stp>
        <stp>SEMES</stp>
        <tr r="BT10" s="2"/>
        <tr r="AJ8" s="5"/>
      </tp>
      <tp>
        <v>-14.28571428571429</v>
        <stp/>
        <stp>CSAN3_B_0</stp>
        <stp>SEMES</stp>
        <tr r="BT62" s="2"/>
        <tr r="AJ60" s="5"/>
      </tp>
      <tp t="s">
        <v>-</v>
        <stp/>
        <stp>BBAS3_B_0</stp>
        <stp>DELTA</stp>
        <tr r="CA14" s="2"/>
        <tr r="AQ12" s="5"/>
      </tp>
      <tp t="s">
        <v>-</v>
        <stp/>
        <stp>BEEF3_B_0</stp>
        <stp>VEXT</stp>
        <tr r="BA65" s="5"/>
        <tr r="CK67" s="2"/>
      </tp>
      <tp>
        <v>0</v>
        <stp/>
        <stp>ECOR3_B_0</stp>
        <stp>PEX</stp>
        <tr r="AU7" s="2"/>
        <tr r="K5" s="5"/>
      </tp>
      <tp>
        <v>76355634</v>
        <stp/>
        <stp>CMIG4_B_0</stp>
        <stp>VPJ</stp>
        <tr r="BL23" s="2"/>
        <tr r="AB21" s="5"/>
      </tp>
      <tp>
        <v>5.22</v>
        <stp/>
        <stp>RAPT4_B_0</stp>
        <stp>OCP</stp>
        <tr r="BD76" s="2"/>
        <tr r="T74" s="5"/>
      </tp>
      <tp>
        <v>0</v>
        <stp/>
        <stp>CRFB3_B_0</stp>
        <stp>SEMES</stp>
        <tr r="BT63" s="2"/>
        <tr r="AJ61" s="5"/>
      </tp>
      <tp>
        <v>0</v>
        <stp/>
        <stp>CSNA3_B_0</stp>
        <stp>QUL</stp>
        <tr r="BA10" s="2"/>
        <tr r="Q8" s="5"/>
      </tp>
      <tp>
        <v>12706628</v>
        <stp/>
        <stp>RAIZ4_B_0</stp>
        <stp>VOL</stp>
        <tr r="BC77" s="2"/>
        <tr r="S75" s="5"/>
      </tp>
      <tp>
        <v>5889000</v>
        <stp/>
        <stp>CSNA3_B_0</stp>
        <stp>QTT</stp>
        <tr r="BB10" s="2"/>
        <tr r="R8" s="5"/>
      </tp>
      <tp>
        <v>82200</v>
        <stp/>
        <stp>RAIZ4_B_0</stp>
        <stp>VOC</stp>
        <tr r="BF77" s="2"/>
        <tr r="V75" s="5"/>
      </tp>
      <tp>
        <v>7700</v>
        <stp/>
        <stp>RAIZ4_B_0</stp>
        <stp>VOV</stp>
        <tr r="BG77" s="2"/>
        <tr r="W75" s="5"/>
      </tp>
      <tp>
        <v>0</v>
        <stp/>
        <stp>CSNA3_B_0</stp>
        <stp>QTE</stp>
        <tr r="BK10" s="2"/>
        <tr r="AA8" s="5"/>
      </tp>
      <tp t="s">
        <v>-</v>
        <stp/>
        <stp>SUZB3_B_0</stp>
        <stp>GAMA</stp>
        <tr r="CB25" s="2"/>
        <tr r="AR23" s="5"/>
      </tp>
      <tp t="s">
        <v>-</v>
        <stp/>
        <stp>RAIZ4_B_0</stp>
        <stp>VIB</stp>
        <tr r="CG77" s="2"/>
        <tr r="AW75" s="5"/>
      </tp>
      <tp t="s">
        <v>-</v>
        <stp/>
        <stp>RAIZ4_B_0</stp>
        <stp>VIA</stp>
        <tr r="CF77" s="2"/>
        <tr r="AV75" s="5"/>
      </tp>
      <tp>
        <v>-0.34052213393869873</v>
        <stp/>
        <stp>MGLU3_B_0</stp>
        <stp>SEM</stp>
        <tr r="BM35" s="2"/>
        <tr r="AC33" s="5"/>
      </tp>
      <tp t="s">
        <v>Pré-Fechamento</v>
        <stp/>
        <stp>SUZB3_B_0</stp>
        <stp>EST</stp>
        <tr r="BX25" s="2"/>
        <tr r="AN23" s="5"/>
      </tp>
      <tp>
        <v>37883732</v>
        <stp/>
        <stp>MDIA3_B_0</stp>
        <stp>VPJ</stp>
        <tr r="BL78" s="2"/>
        <tr r="AB76" s="5"/>
      </tp>
      <tp t="s">
        <v>-</v>
        <stp/>
        <stp>BEEF3_B_0</stp>
        <stp>DELTA</stp>
        <tr r="AQ65" s="5"/>
        <tr r="CA67" s="2"/>
      </tp>
      <tp t="s">
        <v>-</v>
        <stp/>
        <stp>KEPL3_B_0</stp>
        <stp>THETA</stp>
        <tr r="CC73" s="2"/>
        <tr r="AS71" s="5"/>
      </tp>
      <tp t="s">
        <v>-</v>
        <stp/>
        <stp>RAIZ4_B_0</stp>
        <stp>VEN</stp>
        <tr r="BU77" s="2"/>
        <tr r="AK75" s="5"/>
      </tp>
      <tp>
        <v>120322325</v>
        <stp/>
        <stp>RAIL3_B_0</stp>
        <stp>VPJ</stp>
        <tr r="BL60" s="2"/>
        <tr r="AB58" s="5"/>
      </tp>
      <tp>
        <v>0</v>
        <stp/>
        <stp>RANI3_B_0</stp>
        <stp>QUL</stp>
        <tr r="BA85" s="2"/>
        <tr r="Q83" s="5"/>
        <tr r="BA92" s="2"/>
        <tr r="BA91" s="2"/>
        <tr r="BA90" s="2"/>
        <tr r="BA89" s="2"/>
        <tr r="BA88" s="2"/>
        <tr r="BA87" s="2"/>
        <tr r="BA86" s="2"/>
      </tp>
      <tp>
        <v>10.252486610558529</v>
        <stp/>
        <stp>CYRE3_B_0</stp>
        <stp>SEMES</stp>
        <tr r="BT28" s="2"/>
        <tr r="AJ26" s="5"/>
      </tp>
      <tp>
        <v>117061043</v>
        <stp/>
        <stp>USIM5_B_0</stp>
        <stp>VPJ</stp>
        <tr r="BL29" s="2"/>
        <tr r="AB27" s="5"/>
      </tp>
      <tp>
        <v>0</v>
        <stp/>
        <stp>RANI3_B_0</stp>
        <stp>QTE</stp>
        <tr r="BK85" s="2"/>
        <tr r="AA83" s="5"/>
        <tr r="BK87" s="2"/>
        <tr r="BK92" s="2"/>
        <tr r="BK91" s="2"/>
        <tr r="BK89" s="2"/>
        <tr r="BK90" s="2"/>
        <tr r="BK88" s="2"/>
        <tr r="BK86" s="2"/>
      </tp>
      <tp>
        <v>744200</v>
        <stp/>
        <stp>RANI3_B_0</stp>
        <stp>QTT</stp>
        <tr r="BB85" s="2"/>
        <tr r="R83" s="5"/>
        <tr r="BB87" s="2"/>
        <tr r="BB92" s="2"/>
        <tr r="BB91" s="2"/>
        <tr r="BB90" s="2"/>
        <tr r="BB89" s="2"/>
        <tr r="BB88" s="2"/>
        <tr r="BB86" s="2"/>
      </tp>
      <tp>
        <v>7.2</v>
        <stp/>
        <stp>KEPL3_B_0</stp>
        <stp>OVD</stp>
        <tr r="BE73" s="2"/>
        <tr r="U71" s="5"/>
      </tp>
      <tp>
        <v>12.22</v>
        <stp/>
        <stp>TUPY3_B_0</stp>
        <stp>OCP</stp>
        <tr r="BD81" s="2"/>
        <tr r="T79" s="5"/>
      </tp>
      <tp t="s">
        <v>31/12/9999</v>
        <stp/>
        <stp>RAIZ4_B_0</stp>
        <stp>VAL</stp>
        <tr r="BV77" s="2"/>
        <tr r="AL75" s="5"/>
      </tp>
      <tp>
        <v>3.529411764705872</v>
        <stp/>
        <stp>RAIZ4_B_0</stp>
        <stp>VAR</stp>
        <tr r="AV77" s="2"/>
        <tr r="L75" s="5"/>
      </tp>
      <tp>
        <v>0.3745318352060012</v>
        <stp/>
        <stp>CMIG4_B_0</stp>
        <stp>VAR</stp>
        <tr r="AV23" s="2"/>
        <tr r="L21" s="5"/>
      </tp>
      <tp t="s">
        <v>31/12/9999</v>
        <stp/>
        <stp>CMIG4_B_0</stp>
        <stp>VAL</stp>
        <tr r="BV23" s="2"/>
        <tr r="AL21" s="5"/>
      </tp>
      <tp>
        <v>20.079999999999998</v>
        <stp/>
        <stp>AGRO3_B_0</stp>
        <stp>MIN</stp>
        <tr r="AS71" s="2"/>
        <tr r="I69" s="5"/>
      </tp>
      <tp t="s">
        <v>-</v>
        <stp/>
        <stp>BRFS3_B_0</stp>
        <stp>DELTA</stp>
        <tr r="CA33" s="2"/>
        <tr r="AQ31" s="5"/>
      </tp>
      <tp t="s">
        <v>-</v>
        <stp/>
        <stp>VAMO3_B_0</stp>
        <stp>RHO</stp>
        <tr r="CD74" s="2"/>
        <tr r="AT72" s="5"/>
      </tp>
      <tp>
        <v>28.96</v>
        <stp/>
        <stp>CYRE3_B_0</stp>
        <stp>MAX</stp>
        <tr r="AR28" s="2"/>
        <tr r="H26" s="5"/>
      </tp>
      <tp t="s">
        <v>-</v>
        <stp/>
        <stp>USIM5_B_0</stp>
        <stp>VIA</stp>
        <tr r="CF29" s="2"/>
        <tr r="AV27" s="5"/>
      </tp>
      <tp t="s">
        <v>-</v>
        <stp/>
        <stp>USIM5_B_0</stp>
        <stp>VIB</stp>
        <tr r="CG29" s="2"/>
        <tr r="AW27" s="5"/>
      </tp>
      <tp t="s">
        <v>-</v>
        <stp/>
        <stp>ARML3_B_0</stp>
        <stp>RHO</stp>
        <tr r="CD80" s="2"/>
        <tr r="AT78" s="5"/>
      </tp>
      <tp t="s">
        <v>-</v>
        <stp/>
        <stp>CAML3_B_0</stp>
        <stp>RHO</stp>
        <tr r="CD83" s="2"/>
        <tr r="AT81" s="5"/>
      </tp>
      <tp t="s">
        <v>-</v>
        <stp/>
        <stp>MDIA3_B_0</stp>
        <stp>VEN</stp>
        <tr r="BU78" s="2"/>
        <tr r="AK76" s="5"/>
      </tp>
      <tp>
        <v>-2.8396161076481725</v>
        <stp/>
        <stp>CAML3_B_0</stp>
        <stp>SEMES</stp>
        <tr r="BT83" s="2"/>
        <tr r="AJ81" s="5"/>
      </tp>
      <tp t="s">
        <v>-</v>
        <stp/>
        <stp>RAIL3_B_0</stp>
        <stp>VIA</stp>
        <tr r="CF60" s="2"/>
        <tr r="AV58" s="5"/>
      </tp>
      <tp t="s">
        <v>-</v>
        <stp/>
        <stp>RAIL3_B_0</stp>
        <stp>VIB</stp>
        <tr r="CG60" s="2"/>
        <tr r="AW58" s="5"/>
      </tp>
      <tp>
        <v>117061043</v>
        <stp/>
        <stp>USIM5_B_0</stp>
        <stp>VOL</stp>
        <tr r="BC29" s="2"/>
        <tr r="S27" s="5"/>
      </tp>
      <tp>
        <v>5.3100000000000005</v>
        <stp/>
        <stp>RAPT4_B_0</stp>
        <stp>OVD</stp>
        <tr r="BE76" s="2"/>
        <tr r="U74" s="5"/>
      </tp>
      <tp>
        <v>200</v>
        <stp/>
        <stp>USIM5_B_0</stp>
        <stp>VOC</stp>
        <tr r="BF29" s="2"/>
        <tr r="V27" s="5"/>
      </tp>
      <tp t="s">
        <v>-</v>
        <stp/>
        <stp>CMIG4_B_0</stp>
        <stp>VEN</stp>
        <tr r="BU23" s="2"/>
        <tr r="AK21" s="5"/>
      </tp>
      <tp>
        <v>1400</v>
        <stp/>
        <stp>USIM5_B_0</stp>
        <stp>VOV</stp>
        <tr r="BG29" s="2"/>
        <tr r="W27" s="5"/>
      </tp>
      <tp t="s">
        <v>-</v>
        <stp/>
        <stp>CRFB3_B_0</stp>
        <stp>GAMA</stp>
        <tr r="CB63" s="2"/>
        <tr r="AR61" s="5"/>
      </tp>
      <tp>
        <v>120322325</v>
        <stp/>
        <stp>RAIL3_B_0</stp>
        <stp>VOL</stp>
        <tr r="BC60" s="2"/>
        <tr r="S58" s="5"/>
      </tp>
      <tp>
        <v>200</v>
        <stp/>
        <stp>RAIL3_B_0</stp>
        <stp>VOC</stp>
        <tr r="BF60" s="2"/>
        <tr r="V58" s="5"/>
      </tp>
      <tp>
        <v>800</v>
        <stp/>
        <stp>RAIL3_B_0</stp>
        <stp>VOV</stp>
        <tr r="BG60" s="2"/>
        <tr r="W58" s="5"/>
      </tp>
      <tp>
        <v>1.4948190929165879</v>
        <stp/>
        <stp>VALE3_B_0</stp>
        <stp>SEM</stp>
        <tr r="BM12" s="2"/>
        <tr r="AC10" s="5"/>
      </tp>
      <tp>
        <v>4.4139465875370965</v>
        <stp/>
        <stp>MDIA3_B_0</stp>
        <stp>VAR</stp>
        <tr r="AV78" s="2"/>
        <tr r="L76" s="5"/>
      </tp>
      <tp>
        <v>0</v>
        <stp/>
        <stp>ECOR3_B_0</stp>
        <stp>PRT</stp>
        <tr r="BJ7" s="2"/>
        <tr r="Z5" s="5"/>
      </tp>
      <tp>
        <v>-6.1237785016286725</v>
        <stp/>
        <stp>CYRE3_B_0</stp>
        <stp>MES</stp>
        <tr r="BN28" s="2"/>
        <tr r="AD26" s="5"/>
      </tp>
      <tp>
        <v>0</v>
        <stp/>
        <stp>RENT3_B_0</stp>
        <stp>QTE</stp>
        <tr r="BK24" s="2"/>
        <tr r="AA22" s="5"/>
      </tp>
      <tp t="s">
        <v>31/12/9999</v>
        <stp/>
        <stp>MDIA3_B_0</stp>
        <stp>VAL</stp>
        <tr r="BV78" s="2"/>
        <tr r="AL76" s="5"/>
      </tp>
      <tp>
        <v>28.709836601307188</v>
        <stp/>
        <stp>CYRE3_B_0</stp>
        <stp>MED</stp>
        <tr r="AX28" s="2"/>
        <tr r="N26" s="5"/>
      </tp>
      <tp>
        <v>0</v>
        <stp/>
        <stp>RDOR3_B_0</stp>
        <stp>PRT</stp>
        <tr r="L68" s="2"/>
      </tp>
      <tp>
        <v>3927500</v>
        <stp/>
        <stp>RENT3_B_0</stp>
        <stp>QTT</stp>
        <tr r="BB24" s="2"/>
        <tr r="R22" s="5"/>
      </tp>
      <tp>
        <v>0</v>
        <stp/>
        <stp>RENT3_B_0</stp>
        <stp>QUL</stp>
        <tr r="BA24" s="2"/>
        <tr r="Q22" s="5"/>
      </tp>
      <tp>
        <v>0</v>
        <stp/>
        <stp>ALOS3_B_0</stp>
        <stp>PRT</stp>
        <tr r="L6" s="2"/>
      </tp>
      <tp>
        <v>200</v>
        <stp/>
        <stp>MDIA3_B_0</stp>
        <stp>VOV</stp>
        <tr r="BG78" s="2"/>
        <tr r="W76" s="5"/>
      </tp>
      <tp t="s">
        <v>-</v>
        <stp/>
        <stp>ITUB4_B_0</stp>
        <stp>GAMA</stp>
        <tr r="CB32" s="2"/>
        <tr r="AR30" s="5"/>
      </tp>
      <tp>
        <v>20.21</v>
        <stp/>
        <stp>AGRO3_B_0</stp>
        <stp>MAX</stp>
        <tr r="AR71" s="2"/>
        <tr r="H69" s="5"/>
      </tp>
      <tp>
        <v>100</v>
        <stp/>
        <stp>MDIA3_B_0</stp>
        <stp>VOC</stp>
        <tr r="BF78" s="2"/>
        <tr r="V76" s="5"/>
      </tp>
      <tp>
        <v>37883732</v>
        <stp/>
        <stp>MDIA3_B_0</stp>
        <stp>VOL</stp>
        <tr r="BC78" s="2"/>
        <tr r="S76" s="5"/>
      </tp>
      <tp t="s">
        <v>-</v>
        <stp/>
        <stp>CMIG4_B_0</stp>
        <stp>VIB</stp>
        <tr r="CG23" s="2"/>
        <tr r="AW21" s="5"/>
      </tp>
      <tp t="s">
        <v>-</v>
        <stp/>
        <stp>CMIG4_B_0</stp>
        <stp>VIA</stp>
        <tr r="CF23" s="2"/>
        <tr r="AV21" s="5"/>
      </tp>
      <tp>
        <v>7.07</v>
        <stp/>
        <stp>KEPL3_B_0</stp>
        <stp>OCP</stp>
        <tr r="BD73" s="2"/>
        <tr r="T71" s="5"/>
      </tp>
      <tp>
        <v>12.64</v>
        <stp/>
        <stp>TUPY3_B_0</stp>
        <stp>OVD</stp>
        <tr r="BE81" s="2"/>
        <tr r="U79" s="5"/>
      </tp>
      <tp t="s">
        <v>31/12/9999</v>
        <stp/>
        <stp>USIM5_B_0</stp>
        <stp>VAL</stp>
        <tr r="BV29" s="2"/>
        <tr r="AL27" s="5"/>
      </tp>
      <tp>
        <v>28.5</v>
        <stp/>
        <stp>CYRE3_B_0</stp>
        <stp>MIN</stp>
        <tr r="I26" s="5"/>
        <tr r="AS28" s="2"/>
      </tp>
      <tp>
        <v>2.8761061946902626</v>
        <stp/>
        <stp>USIM5_B_0</stp>
        <stp>VAR</stp>
        <tr r="AV29" s="2"/>
        <tr r="L27" s="5"/>
      </tp>
      <tp>
        <v>0</v>
        <stp/>
        <stp>CIEL3_B_0</stp>
        <stp>SEMES</stp>
        <tr r="BT8" s="2"/>
        <tr r="AJ6" s="5"/>
      </tp>
      <tp t="s">
        <v>31/12/9999</v>
        <stp/>
        <stp>RAIL3_B_0</stp>
        <stp>VAL</stp>
        <tr r="BV60" s="2"/>
        <tr r="AL58" s="5"/>
      </tp>
      <tp>
        <v>-0.64641241111829117</v>
        <stp/>
        <stp>RAIL3_B_0</stp>
        <stp>VAR</stp>
        <tr r="AV60" s="2"/>
        <tr r="L58" s="5"/>
      </tp>
      <tp>
        <v>12706628</v>
        <stp/>
        <stp>RAIZ4_B_0</stp>
        <stp>VPJ</stp>
        <tr r="BL77" s="2"/>
        <tr r="AB75" s="5"/>
      </tp>
      <tp>
        <v>-0.54320987654320707</v>
        <stp/>
        <stp>AGRO3_B_0</stp>
        <stp>MES</stp>
        <tr r="BN71" s="2"/>
        <tr r="AD69" s="5"/>
      </tp>
      <tp>
        <v>20.143014048531288</v>
        <stp/>
        <stp>AGRO3_B_0</stp>
        <stp>MED</stp>
        <tr r="AX71" s="2"/>
        <tr r="N69" s="5"/>
      </tp>
      <tp t="s">
        <v>-</v>
        <stp/>
        <stp>USIM5_B_0</stp>
        <stp>VEN</stp>
        <tr r="BU29" s="2"/>
        <tr r="AK27" s="5"/>
      </tp>
      <tp>
        <v>100</v>
        <stp/>
        <stp>CMIG4_B_0</stp>
        <stp>VOV</stp>
        <tr r="BG23" s="2"/>
        <tr r="W21" s="5"/>
      </tp>
      <tp t="s">
        <v>-</v>
        <stp/>
        <stp>BEEF3_B_0</stp>
        <stp>VEGA</stp>
        <tr r="AU65" s="5"/>
        <tr r="CE67" s="2"/>
      </tp>
      <tp>
        <v>76355634</v>
        <stp/>
        <stp>CMIG4_B_0</stp>
        <stp>VOL</stp>
        <tr r="BC23" s="2"/>
        <tr r="S21" s="5"/>
      </tp>
      <tp t="s">
        <v>-</v>
        <stp/>
        <stp>MDIA3_B_0</stp>
        <stp>VIB</stp>
        <tr r="CG78" s="2"/>
        <tr r="AW76" s="5"/>
      </tp>
      <tp t="s">
        <v>-</v>
        <stp/>
        <stp>MDIA3_B_0</stp>
        <stp>VIA</stp>
        <tr r="CF78" s="2"/>
        <tr r="AV76" s="5"/>
      </tp>
      <tp>
        <v>100</v>
        <stp/>
        <stp>CMIG4_B_0</stp>
        <stp>VOC</stp>
        <tr r="BF23" s="2"/>
        <tr r="V21" s="5"/>
      </tp>
      <tp t="s">
        <v>-</v>
        <stp/>
        <stp>RAIL3_B_0</stp>
        <stp>VEN</stp>
        <tr r="BU60" s="2"/>
        <tr r="AK58" s="5"/>
      </tp>
      <tp t="s">
        <v>NONE</v>
        <stp/>
        <stp>ARZZ3_B_0</stp>
        <stp>EST</stp>
        <tr r="BX72" s="2"/>
        <tr r="AN70" s="5"/>
      </tp>
      <tp>
        <v>-1.5209125475285183</v>
        <stp/>
        <stp>JALL3_B_0</stp>
        <stp>SEM</stp>
        <tr r="BM69" s="2"/>
        <tr r="AC67" s="5"/>
      </tp>
      <tp>
        <v>0</v>
        <stp/>
        <stp>WDOX24_F_0</stp>
        <stp>ABE</stp>
        <tr r="G54" s="5"/>
        <tr r="AQ56" s="2"/>
      </tp>
      <tp>
        <v>0</v>
        <stp/>
        <stp>WINV24_F_0</stp>
        <stp>OCP</stp>
        <tr r="BD44" s="2"/>
        <tr r="T42" s="5"/>
      </tp>
      <tp>
        <v>0</v>
        <stp/>
        <stp>WDOV24_F_0</stp>
        <stp>OCP</stp>
        <tr r="BD57" s="2"/>
        <tr r="T55" s="5"/>
      </tp>
      <tp>
        <v>0</v>
        <stp/>
        <stp>WINZ24_F_0</stp>
        <stp>CAB</stp>
        <tr r="BW43" s="2"/>
        <tr r="AM41" s="5"/>
      </tp>
      <tp>
        <v>0</v>
        <stp/>
        <stp>WDOJ24_F_0</stp>
        <stp>SEM</stp>
        <tr r="BM51" s="2"/>
        <tr r="AC49" s="5"/>
      </tp>
      <tp>
        <v>0</v>
        <stp/>
        <stp>WINJ24_F_0</stp>
        <stp>SEM</stp>
        <tr r="BM38" s="2"/>
        <tr r="AC36" s="5"/>
      </tp>
      <tp>
        <v>0</v>
        <stp/>
        <stp>WDOX24_F_0</stp>
        <stp>AJA</stp>
        <tr r="BI56" s="2"/>
        <tr r="Y54" s="5"/>
      </tp>
      <tp>
        <v>0</v>
        <stp/>
        <stp>WDOX24_F_0</stp>
        <stp>AJU</stp>
        <tr r="BH56" s="2"/>
        <tr r="X54" s="5"/>
      </tp>
      <tp t="s">
        <v>-</v>
        <stp/>
        <stp>WDOK24_F_0</stp>
        <stp>RHO</stp>
        <tr r="CD39" s="2"/>
        <tr r="AT37" s="5"/>
      </tp>
      <tp>
        <v>0</v>
        <stp/>
        <stp>WDOX24_F_0</stp>
        <stp>ANO</stp>
        <tr r="BR56" s="2"/>
        <tr r="AH54" s="5"/>
      </tp>
      <tp t="s">
        <v>00:00:00</v>
        <stp/>
        <stp>WINQ24_F_0</stp>
        <stp>HOR</stp>
        <tr r="E39" s="5"/>
        <tr r="AO41" s="2"/>
      </tp>
      <tp t="s">
        <v>00:00:00</v>
        <stp/>
        <stp>WDOQ24_F_0</stp>
        <stp>HOR</stp>
        <tr r="E52" s="5"/>
        <tr r="AO54" s="2"/>
      </tp>
      <tp t="s">
        <v>-</v>
        <stp/>
        <stp>B3SA3_B_0</stp>
        <stp>DELTA</stp>
        <tr r="CA21" s="2"/>
        <tr r="AQ19" s="5"/>
      </tp>
      <tp>
        <v>0</v>
        <stp/>
        <stp>WINV24_F_0</stp>
        <stp>OVD</stp>
        <tr r="BE44" s="2"/>
        <tr r="U42" s="5"/>
      </tp>
      <tp>
        <v>0</v>
        <stp/>
        <stp>WDOV24_F_0</stp>
        <stp>OVD</stp>
        <tr r="BE57" s="2"/>
        <tr r="U55" s="5"/>
      </tp>
      <tp>
        <v>0</v>
        <stp/>
        <stp>WDOH24_F_0</stp>
        <stp>QTE</stp>
        <tr r="BK52" s="2"/>
        <tr r="AA50" s="5"/>
      </tp>
      <tp>
        <v>0</v>
        <stp/>
        <stp>WDOH24_F_0</stp>
        <stp>QTT</stp>
        <tr r="BB52" s="2"/>
        <tr r="R50" s="5"/>
      </tp>
      <tp>
        <v>0</v>
        <stp/>
        <stp>WDOH24_F_0</stp>
        <stp>QUL</stp>
        <tr r="BA52" s="2"/>
        <tr r="Q50" s="5"/>
      </tp>
      <tp>
        <v>0.4605641911341295</v>
        <stp/>
        <stp>KLBN11_B_0</stp>
        <stp>SEM</stp>
        <tr r="BM82" s="2"/>
        <tr r="AC80" s="5"/>
      </tp>
      <tp t="s">
        <v>-</v>
        <stp/>
        <stp>ARML3_B_0</stp>
        <stp>DOBRAR</stp>
        <tr r="CH80" s="2"/>
        <tr r="AX78" s="5"/>
      </tp>
      <tp t="s">
        <v>-</v>
        <stp/>
        <stp>CRFB3_B_0</stp>
        <stp>DOBRAR</stp>
        <tr r="CH63" s="2"/>
        <tr r="AX61" s="5"/>
      </tp>
      <tp t="s">
        <v>-</v>
        <stp/>
        <stp>MRFG3_B_0</stp>
        <stp>DOBRAR</stp>
        <tr r="AX66" s="5"/>
        <tr r="CH68" s="2"/>
      </tp>
      <tp t="s">
        <v>-</v>
        <stp/>
        <stp>BRFS3_B_0</stp>
        <stp>DOBRAR</stp>
        <tr r="CH33" s="2"/>
        <tr r="AX31" s="5"/>
      </tp>
      <tp t="s">
        <v>-</v>
        <stp/>
        <stp>LREN3_B_0</stp>
        <stp>DOBRAR</stp>
        <tr r="CH34" s="2"/>
        <tr r="AX32" s="5"/>
      </tp>
      <tp t="s">
        <v>-</v>
        <stp/>
        <stp>BRAP4_B_0</stp>
        <stp>DOBRAR</stp>
        <tr r="CH30" s="2"/>
        <tr r="AX28" s="5"/>
      </tp>
      <tp t="s">
        <v>-</v>
        <stp/>
        <stp>ARZZ3_B_0</stp>
        <stp>DOBRAR</stp>
        <tr r="CH72" s="2"/>
        <tr r="AX70" s="5"/>
      </tp>
      <tp t="s">
        <v>-</v>
        <stp/>
        <stp>MRVE3_B_0</stp>
        <stp>DOBRAR</stp>
        <tr r="CH18" s="2"/>
        <tr r="AX16" s="5"/>
      </tp>
      <tp t="s">
        <v>-</v>
        <stp/>
        <stp>CYRE3_B_0</stp>
        <stp>VEXT</stp>
        <tr r="CK28" s="2"/>
        <tr r="BA26" s="5"/>
      </tp>
      <tp>
        <v>0.88</v>
        <stp/>
        <stp>RAIZ4_B_0</stp>
        <stp>ULT</stp>
        <tr r="K67" s="2"/>
        <tr r="F75" s="5"/>
        <tr r="AP77" s="2"/>
      </tp>
      <tp t="s">
        <v>-</v>
        <stp/>
        <stp>ABEV3_B_0</stp>
        <stp>DELTA</stp>
        <tr r="AQ18" s="5"/>
        <tr r="CA20" s="2"/>
      </tp>
      <tp t="s">
        <v>-</v>
        <stp/>
        <stp>HBSA3_B_0</stp>
        <stp>THETA</stp>
        <tr r="CC58" s="2"/>
        <tr r="AS56" s="5"/>
      </tp>
      <tp>
        <v>0</v>
        <stp/>
        <stp>CPLE6_B_0</stp>
        <stp>PRT</stp>
        <tr r="L24" s="2"/>
      </tp>
      <tp>
        <v>11.1</v>
        <stp/>
        <stp>ITSA4_B_0</stp>
        <stp>OVD</stp>
        <tr r="BE31" s="2"/>
        <tr r="U29" s="5"/>
      </tp>
      <tp>
        <v>0.54127198917456065</v>
        <stp/>
        <stp>ECOR3_B_0</stp>
        <stp>SEM</stp>
        <tr r="BM7" s="2"/>
        <tr r="AC5" s="5"/>
      </tp>
      <tp>
        <v>3.8000000000000003</v>
        <stp/>
        <stp>HBSA3_B_0</stp>
        <stp>OVD</stp>
        <tr r="BE58" s="2"/>
        <tr r="U56" s="5"/>
      </tp>
      <tp>
        <v>6.68</v>
        <stp/>
        <stp>GFSA3_B_0</stp>
        <stp>OVD</stp>
        <tr r="BE22" s="2"/>
        <tr r="U20" s="5"/>
      </tp>
      <tp>
        <v>0</v>
        <stp/>
        <stp>VALE3_B_0</stp>
        <stp>PRT</stp>
        <tr r="L82" s="2"/>
        <tr r="BJ12" s="2"/>
        <tr r="Z10" s="5"/>
      </tp>
      <tp>
        <v>12.57</v>
        <stp/>
        <stp>B3SA3_B_0</stp>
        <stp>OVD</stp>
        <tr r="BE21" s="2"/>
        <tr r="U19" s="5"/>
      </tp>
      <tp>
        <v>-5.2763819095477382</v>
        <stp/>
        <stp>PCAR3_B_0</stp>
        <stp>TRIM</stp>
        <tr r="BS70" s="2"/>
        <tr r="AI68" s="5"/>
      </tp>
      <tp>
        <v>-4.5772409408772976</v>
        <stp/>
        <stp>PETR4_B_0</stp>
        <stp>TRIM</stp>
        <tr r="BS11" s="2"/>
        <tr r="AI9" s="5"/>
      </tp>
      <tp t="s">
        <v>-</v>
        <stp/>
        <stp>AGRO3_B_0</stp>
        <stp>DELTA</stp>
        <tr r="CA71" s="2"/>
        <tr r="AQ69" s="5"/>
      </tp>
      <tp>
        <v>0</v>
        <stp/>
        <stp>JBSS3_B_0</stp>
        <stp>OCP</stp>
        <tr r="BD64" s="2"/>
        <tr r="T62" s="5"/>
      </tp>
      <tp>
        <v>0</v>
        <stp/>
        <stp>MGLU3_B_0</stp>
        <stp>PEX</stp>
        <tr r="AU35" s="2"/>
        <tr r="K33" s="5"/>
      </tp>
      <tp t="s">
        <v>-</v>
        <stp/>
        <stp>RANI3_B_0</stp>
        <stp>VINT</stp>
        <tr r="CJ85" s="2"/>
        <tr r="AZ83" s="5"/>
        <tr r="CJ92" s="2"/>
        <tr r="CJ91" s="2"/>
        <tr r="CJ90" s="2"/>
        <tr r="CJ89" s="2"/>
        <tr r="CJ88" s="2"/>
        <tr r="CJ87" s="2"/>
        <tr r="CJ86" s="2"/>
      </tp>
      <tp t="s">
        <v>-</v>
        <stp/>
        <stp>LREN3_B_0</stp>
        <stp>BLACK</stp>
        <tr r="BY34" s="2"/>
        <tr r="AO32" s="5"/>
      </tp>
      <tp>
        <v>0</v>
        <stp/>
        <stp>JALL3_B_0</stp>
        <stp>PRT</stp>
        <tr r="Z67" s="5"/>
        <tr r="BJ69" s="2"/>
      </tp>
      <tp>
        <v>0</v>
        <stp/>
        <stp>ARZZ3_B_0</stp>
        <stp>FEC</stp>
        <tr r="AT72" s="2"/>
        <tr r="J70" s="5"/>
      </tp>
      <tp t="s">
        <v>-</v>
        <stp/>
        <stp>RENT3_B_0</stp>
        <stp>RHO</stp>
        <tr r="CD24" s="2"/>
        <tr r="AT22" s="5"/>
      </tp>
      <tp t="s">
        <v>-</v>
        <stp/>
        <stp>VALE3_B_0</stp>
        <stp>VEGA</stp>
        <tr r="CE12" s="2"/>
        <tr r="AU10" s="5"/>
      </tp>
      <tp t="s">
        <v>17:07:40</v>
        <stp/>
        <stp>PETR4_B_0</stp>
        <stp>HOR</stp>
        <tr r="E9" s="5"/>
        <tr r="AO11" s="2"/>
      </tp>
      <tp>
        <v>0</v>
        <stp/>
        <stp>VAMO3_B_0</stp>
        <stp>QUL</stp>
        <tr r="BA74" s="2"/>
        <tr r="Q72" s="5"/>
      </tp>
      <tp t="s">
        <v>-</v>
        <stp/>
        <stp>ASAI3_B_0</stp>
        <stp>VIVH</stp>
        <tr r="CI61" s="2"/>
        <tr r="AY59" s="5"/>
      </tp>
      <tp>
        <v>1.53</v>
        <stp/>
        <stp>RCSL3_B_0</stp>
        <stp>OVD</stp>
        <tr r="BE65" s="2"/>
        <tr r="U63" s="5"/>
      </tp>
      <tp>
        <v>0</v>
        <stp/>
        <stp>VAMO3_B_0</stp>
        <stp>QTE</stp>
        <tr r="BK74" s="2"/>
        <tr r="AA72" s="5"/>
      </tp>
      <tp>
        <v>14379200</v>
        <stp/>
        <stp>VAMO3_B_0</stp>
        <stp>QTT</stp>
        <tr r="BB74" s="2"/>
        <tr r="R72" s="5"/>
      </tp>
      <tp>
        <v>720100</v>
        <stp/>
        <stp>CAML3_B_0</stp>
        <stp>QTT</stp>
        <tr r="BB83" s="2"/>
        <tr r="R81" s="5"/>
      </tp>
      <tp>
        <v>764900</v>
        <stp/>
        <stp>ARML3_B_0</stp>
        <stp>QTT</stp>
        <tr r="BB80" s="2"/>
        <tr r="R78" s="5"/>
      </tp>
      <tp t="s">
        <v>-</v>
        <stp/>
        <stp>MRVE3_B_0</stp>
        <stp>VEXT</stp>
        <tr r="CK18" s="2"/>
        <tr r="BA16" s="5"/>
      </tp>
      <tp>
        <v>0</v>
        <stp/>
        <stp>CAML3_B_0</stp>
        <stp>QTE</stp>
        <tr r="BK83" s="2"/>
        <tr r="AA81" s="5"/>
      </tp>
      <tp>
        <v>0</v>
        <stp/>
        <stp>ARML3_B_0</stp>
        <stp>QTE</stp>
        <tr r="BK80" s="2"/>
        <tr r="AA78" s="5"/>
      </tp>
      <tp>
        <v>0</v>
        <stp/>
        <stp>CAML3_B_0</stp>
        <stp>QUL</stp>
        <tr r="BA83" s="2"/>
        <tr r="Q81" s="5"/>
      </tp>
      <tp>
        <v>0</v>
        <stp/>
        <stp>ARML3_B_0</stp>
        <stp>QUL</stp>
        <tr r="BA80" s="2"/>
        <tr r="Q78" s="5"/>
      </tp>
      <tp t="s">
        <v>-</v>
        <stp/>
        <stp>SLCE3_B_0</stp>
        <stp>VEGA</stp>
        <tr r="CE79" s="2"/>
        <tr r="AU77" s="5"/>
      </tp>
      <tp>
        <v>0</v>
        <stp/>
        <stp>MULT3_B_0</stp>
        <stp>PRT</stp>
        <tr r="L58" s="2"/>
      </tp>
      <tp t="s">
        <v>-</v>
        <stp/>
        <stp>SLCE3_B_0</stp>
        <stp>VEXT</stp>
        <tr r="CK79" s="2"/>
        <tr r="BA77" s="5"/>
      </tp>
      <tp t="s">
        <v>-</v>
        <stp/>
        <stp>ARML3_B_0</stp>
        <stp>DELTA</stp>
        <tr r="CA80" s="2"/>
        <tr r="AQ78" s="5"/>
      </tp>
      <tp t="s">
        <v>-</v>
        <stp/>
        <stp>ARZZ3_B_0</stp>
        <stp>DELTA</stp>
        <tr r="CA72" s="2"/>
        <tr r="AQ70" s="5"/>
      </tp>
      <tp>
        <v>0</v>
        <stp/>
        <stp>MGLU3_B_0</stp>
        <stp>PRT</stp>
        <tr r="L52" s="2"/>
        <tr r="BJ35" s="2"/>
        <tr r="Z33" s="5"/>
      </tp>
      <tp t="s">
        <v>-</v>
        <stp/>
        <stp>MRVE3_B_0</stp>
        <stp>VEGA</stp>
        <tr r="CE18" s="2"/>
        <tr r="AU16" s="5"/>
      </tp>
      <tp>
        <v>48.21</v>
        <stp/>
        <stp>SUZB3_B_0</stp>
        <stp>FEC</stp>
        <tr r="J75" s="2"/>
        <tr r="AT25" s="2"/>
        <tr r="J23" s="5"/>
      </tp>
      <tp t="s">
        <v>-</v>
        <stp/>
        <stp>GFSA3_B_0</stp>
        <stp>GAMA</stp>
        <tr r="CB22" s="2"/>
        <tr r="AR20" s="5"/>
      </tp>
      <tp t="s">
        <v>-</v>
        <stp/>
        <stp>ASAI3_B_0</stp>
        <stp>DELTA</stp>
        <tr r="CA61" s="2"/>
        <tr r="AQ59" s="5"/>
      </tp>
      <tp>
        <v>24.66</v>
        <stp/>
        <stp>AZZA3_B_0</stp>
        <stp>FEC</stp>
        <tr r="J10" s="2"/>
      </tp>
      <tp>
        <v>6.6225165562913997</v>
        <stp/>
        <stp>GGBR4_B_0</stp>
        <stp>TRIM</stp>
        <tr r="BS13" s="2"/>
        <tr r="AI11" s="5"/>
      </tp>
      <tp>
        <v>0</v>
        <stp/>
        <stp>JBSS3_B_0</stp>
        <stp>OVD</stp>
        <tr r="BE64" s="2"/>
        <tr r="U62" s="5"/>
      </tp>
      <tp>
        <v>3.72</v>
        <stp/>
        <stp>HBSA3_B_0</stp>
        <stp>OCP</stp>
        <tr r="BD58" s="2"/>
        <tr r="T56" s="5"/>
      </tp>
      <tp>
        <v>10.98</v>
        <stp/>
        <stp>ITSA4_B_0</stp>
        <stp>OCP</stp>
        <tr r="BD31" s="2"/>
        <tr r="T29" s="5"/>
      </tp>
      <tp>
        <v>12.540000000000001</v>
        <stp/>
        <stp>B3SA3_B_0</stp>
        <stp>OCP</stp>
        <tr r="BD21" s="2"/>
        <tr r="T19" s="5"/>
      </tp>
      <tp>
        <v>6.5200000000000005</v>
        <stp/>
        <stp>GFSA3_B_0</stp>
        <stp>OCP</stp>
        <tr r="BD22" s="2"/>
        <tr r="T20" s="5"/>
      </tp>
      <tp>
        <v>5.67</v>
        <stp/>
        <stp>CMIN3_B_0</stp>
        <stp>ULT</stp>
        <tr r="K27" s="2"/>
      </tp>
      <tp t="s">
        <v>-</v>
        <stp/>
        <stp>ASAI3_B_0</stp>
        <stp>VINT</stp>
        <tr r="CJ61" s="2"/>
        <tr r="AZ59" s="5"/>
      </tp>
      <tp t="s">
        <v>-</v>
        <stp/>
        <stp>B3SA3_B_0</stp>
        <stp>GAMA</stp>
        <tr r="CB21" s="2"/>
        <tr r="AR19" s="5"/>
      </tp>
      <tp>
        <v>11.50567287471825</v>
        <stp/>
        <stp>GGBR4_B_0</stp>
        <stp>SEMES</stp>
        <tr r="BT13" s="2"/>
        <tr r="AJ11" s="5"/>
      </tp>
      <tp t="s">
        <v>-</v>
        <stp/>
        <stp>VALE3_B_0</stp>
        <stp>VEXT</stp>
        <tr r="CK12" s="2"/>
        <tr r="BA10" s="5"/>
      </tp>
      <tp t="s">
        <v>-</v>
        <stp/>
        <stp>CSNA3_B_0</stp>
        <stp>GAMA</stp>
        <tr r="CB10" s="2"/>
        <tr r="AR8" s="5"/>
      </tp>
      <tp>
        <v>35.32</v>
        <stp/>
        <stp>PRIO3_B_0</stp>
        <stp>ULT</stp>
        <tr r="K64" s="2"/>
      </tp>
      <tp>
        <v>0</v>
        <stp/>
        <stp>VALE3_B_0</stp>
        <stp>PEX</stp>
        <tr r="AU12" s="2"/>
        <tr r="K10" s="5"/>
      </tp>
      <tp t="s">
        <v>17:07:34</v>
        <stp/>
        <stp>SMTO3_B_0</stp>
        <stp>HOR</stp>
        <tr r="E64" s="5"/>
        <tr r="AO66" s="2"/>
      </tp>
      <tp>
        <v>15.370000000000001</v>
        <stp/>
        <stp>RAIL3_B_0</stp>
        <stp>ULT</stp>
        <tr r="K69" s="2"/>
        <tr r="F58" s="5"/>
        <tr r="AP60" s="2"/>
      </tp>
      <tp>
        <v>11106</v>
        <stp/>
        <stp>CYRE3_B_0</stp>
        <stp>NEG</stp>
        <tr r="P26" s="5"/>
        <tr r="AZ28" s="2"/>
      </tp>
      <tp t="s">
        <v>-</v>
        <stp/>
        <stp>RANI3_B_0</stp>
        <stp>RHO</stp>
        <tr r="CD85" s="2"/>
        <tr r="AT83" s="5"/>
        <tr r="CD92" s="2"/>
        <tr r="CD91" s="2"/>
        <tr r="CD89" s="2"/>
        <tr r="CD90" s="2"/>
        <tr r="CD88" s="2"/>
        <tr r="CD87" s="2"/>
        <tr r="CD86" s="2"/>
      </tp>
      <tp>
        <v>2.9393448748287447</v>
        <stp/>
        <stp>EMBR3_B_0</stp>
        <stp>TRIM</stp>
        <tr r="BS26" s="2"/>
        <tr r="AI24" s="5"/>
      </tp>
      <tp>
        <v>-5.1085568326947568</v>
        <stp/>
        <stp>ECOR3_B_0</stp>
        <stp>TRIM</stp>
        <tr r="BS7" s="2"/>
        <tr r="AI5" s="5"/>
      </tp>
      <tp>
        <v>4.6500000000000004</v>
        <stp/>
        <stp>USIM5_B_0</stp>
        <stp>ULT</stp>
        <tr r="K81" s="2"/>
        <tr r="F27" s="5"/>
        <tr r="AP29" s="2"/>
      </tp>
      <tp t="s">
        <v>-</v>
        <stp/>
        <stp>ITSA4_B_0</stp>
        <stp>GAMA</stp>
        <tr r="CB31" s="2"/>
        <tr r="AR29" s="5"/>
      </tp>
      <tp>
        <v>1.47</v>
        <stp/>
        <stp>RCSL3_B_0</stp>
        <stp>OCP</stp>
        <tr r="BD65" s="2"/>
        <tr r="T63" s="5"/>
      </tp>
      <tp>
        <v>28.150000000000002</v>
        <stp/>
        <stp>MDIA3_B_0</stp>
        <stp>ULT</stp>
        <tr r="F76" s="5"/>
        <tr r="AP78" s="2"/>
      </tp>
      <tp t="s">
        <v>-</v>
        <stp/>
        <stp>MDIA3_B_0</stp>
        <stp>GAMA</stp>
        <tr r="CB78" s="2"/>
        <tr r="AR76" s="5"/>
      </tp>
      <tp>
        <v>780</v>
        <stp/>
        <stp>AGRO3_B_0</stp>
        <stp>NEG</stp>
        <tr r="AZ71" s="2"/>
        <tr r="P69" s="5"/>
      </tp>
      <tp>
        <v>15.683992905317613</v>
        <stp/>
        <stp>GOAU4_B_0</stp>
        <stp>SEMES</stp>
        <tr r="BT19" s="2"/>
        <tr r="AJ17" s="5"/>
      </tp>
      <tp>
        <v>10.72</v>
        <stp/>
        <stp>CMIG4_B_0</stp>
        <stp>ULT</stp>
        <tr r="K22" s="2"/>
        <tr r="F21" s="5"/>
        <tr r="AP23" s="2"/>
      </tp>
      <tp t="s">
        <v>-</v>
        <stp/>
        <stp>HBSA3_B_0</stp>
        <stp>GAMA</stp>
        <tr r="CB58" s="2"/>
        <tr r="AR56" s="5"/>
      </tp>
      <tp>
        <v>0</v>
        <stp/>
        <stp>JALL3_B_0</stp>
        <stp>PEX</stp>
        <tr r="K67" s="5"/>
        <tr r="AU69" s="2"/>
      </tp>
      <tp>
        <v>40.050000000000004</v>
        <stp/>
        <stp>EGIE3_B_0</stp>
        <stp>ULT</stp>
        <tr r="K37" s="2"/>
      </tp>
      <tp t="s">
        <v>-</v>
        <stp/>
        <stp>CYRE3_B_0</stp>
        <stp>VEGA</stp>
        <tr r="CE28" s="2"/>
        <tr r="AU26" s="5"/>
      </tp>
      <tp t="s">
        <v>-</v>
        <stp/>
        <stp>CSNA3_B_0</stp>
        <stp>RHO</stp>
        <tr r="CD10" s="2"/>
        <tr r="AT8" s="5"/>
      </tp>
      <tp t="s">
        <v>-</v>
        <stp/>
        <stp>RANI3_B_0</stp>
        <stp>VIVH</stp>
        <tr r="CI85" s="2"/>
        <tr r="AY83" s="5"/>
        <tr r="CI92" s="2"/>
        <tr r="CI91" s="2"/>
        <tr r="CI90" s="2"/>
        <tr r="CI89" s="2"/>
        <tr r="CI88" s="2"/>
        <tr r="CI87" s="2"/>
        <tr r="CI86" s="2"/>
      </tp>
      <tp>
        <v>0</v>
        <stp/>
        <stp>WDOU24_F_0</stp>
        <stp>OCP</stp>
        <tr r="BD55" s="2"/>
        <tr r="T53" s="5"/>
      </tp>
      <tp>
        <v>0</v>
        <stp/>
        <stp>WDOJ24_F_0</stp>
        <stp>PEX</stp>
        <tr r="AU51" s="2"/>
        <tr r="K49" s="5"/>
      </tp>
      <tp>
        <v>0</v>
        <stp/>
        <stp>WINJ24_F_0</stp>
        <stp>PEX</stp>
        <tr r="AU38" s="2"/>
        <tr r="K36" s="5"/>
      </tp>
      <tp t="s">
        <v>-</v>
        <stp/>
        <stp>WDOH24_F_0</stp>
        <stp>RHO</stp>
        <tr r="CD52" s="2"/>
        <tr r="AT50" s="5"/>
      </tp>
      <tp>
        <v>0</v>
        <stp/>
        <stp>KLBN11_B_0</stp>
        <stp>PRT</stp>
        <tr r="L49" s="2"/>
        <tr r="BJ82" s="2"/>
        <tr r="Z80" s="5"/>
      </tp>
      <tp>
        <v>0</v>
        <stp/>
        <stp>WINJ24_F_0</stp>
        <stp>PRT</stp>
        <tr r="BJ38" s="2"/>
        <tr r="Z36" s="5"/>
      </tp>
      <tp>
        <v>0</v>
        <stp/>
        <stp>WDOJ24_F_0</stp>
        <stp>PRT</stp>
        <tr r="BJ51" s="2"/>
        <tr r="Z49" s="5"/>
      </tp>
      <tp>
        <v>0</v>
        <stp/>
        <stp>WDOU24_F_0</stp>
        <stp>OVD</stp>
        <tr r="BE55" s="2"/>
        <tr r="U53" s="5"/>
      </tp>
      <tp>
        <v>0</v>
        <stp/>
        <stp>WDOK24_F_0</stp>
        <stp>QTE</stp>
        <tr r="BK39" s="2"/>
        <tr r="AA37" s="5"/>
      </tp>
      <tp>
        <v>0</v>
        <stp/>
        <stp>WDOK24_F_0</stp>
        <stp>QTT</stp>
        <tr r="BB39" s="2"/>
        <tr r="R37" s="5"/>
      </tp>
      <tp>
        <v>0</v>
        <stp/>
        <stp>WDOK24_F_0</stp>
        <stp>QUL</stp>
        <tr r="BA39" s="2"/>
        <tr r="Q37" s="5"/>
      </tp>
      <tp>
        <v>0</v>
        <stp/>
        <stp>KLBN11_B_0</stp>
        <stp>PEX</stp>
        <tr r="AU82" s="2"/>
        <tr r="K80" s="5"/>
      </tp>
      <tp>
        <v>0.12999999999999989</v>
        <stp/>
        <stp>USIM5_B_0</stp>
        <stp>VARPTS</stp>
        <tr r="AW29" s="2"/>
        <tr r="M27" s="5"/>
      </tp>
      <tp>
        <v>4.0000000000000924E-2</v>
        <stp/>
        <stp>CSNA3_B_0</stp>
        <stp>VARPTS</stp>
        <tr r="AW10" s="2"/>
        <tr r="M8" s="5"/>
      </tp>
      <tp>
        <v>9.9999999999997868E-3</v>
        <stp/>
        <stp>CSAN3_B_0</stp>
        <stp>VARPTS</stp>
        <tr r="M60" s="5"/>
        <tr r="AW62" s="2"/>
      </tp>
      <tp>
        <v>0.14000000000000057</v>
        <stp/>
        <stp>ASAI3_B_0</stp>
        <stp>VARPTS</stp>
        <tr r="M59" s="5"/>
        <tr r="AW61" s="2"/>
      </tp>
      <tp>
        <v>2.3969408692408134</v>
        <stp/>
        <stp>WDOFUT_F_0</stp>
        <stp>TRIM</stp>
        <tr r="BS37" s="2"/>
        <tr r="AI35" s="5"/>
      </tp>
      <tp>
        <v>-3.7690403769705476</v>
        <stp/>
        <stp>WINFUT_F_0</stp>
        <stp>TRIM</stp>
        <tr r="BS36" s="2"/>
        <tr r="AI34" s="5"/>
      </tp>
      <tp t="s">
        <v>-</v>
        <stp/>
        <stp>DOLFUT_F_0</stp>
        <stp>GAMA</stp>
        <tr r="AR13" s="5"/>
        <tr r="CB15" s="2"/>
      </tp>
      <tp>
        <v>0</v>
        <stp/>
        <stp>JBSS3_B_0</stp>
        <stp>NEG</stp>
        <tr r="P62" s="5"/>
        <tr r="AZ64" s="2"/>
      </tp>
      <tp>
        <v>-27.264653641207804</v>
        <stp/>
        <stp>ASAI3_B_0</stp>
        <stp>SEMES</stp>
        <tr r="AJ59" s="5"/>
        <tr r="BT61" s="2"/>
      </tp>
      <tp>
        <v>-9.2690807120214593</v>
        <stp/>
        <stp>ARML3_B_0</stp>
        <stp>SEMES</stp>
        <tr r="BT80" s="2"/>
        <tr r="AJ78" s="5"/>
      </tp>
      <tp>
        <v>0</v>
        <stp/>
        <stp>ARZZ3_B_0</stp>
        <stp>SEMES</stp>
        <tr r="BT72" s="2"/>
        <tr r="AJ70" s="5"/>
      </tp>
      <tp>
        <v>5.33</v>
        <stp/>
        <stp>RAPT4_B_0</stp>
        <stp>MAX</stp>
        <tr r="AR76" s="2"/>
        <tr r="H74" s="5"/>
      </tp>
      <tp t="s">
        <v>-</v>
        <stp/>
        <stp>DOLPT_E_0</stp>
        <stp>VEN</stp>
        <tr r="BU16" s="2"/>
        <tr r="AK14" s="5"/>
      </tp>
      <tp>
        <v>29.080000000000002</v>
        <stp/>
        <stp>CYRE3_B_0</stp>
        <stp>OVD</stp>
        <tr r="U26" s="5"/>
        <tr r="BE28" s="2"/>
      </tp>
      <tp t="s">
        <v>-</v>
        <stp/>
        <stp>GGBR4_B_0</stp>
        <stp>DELTA</stp>
        <tr r="CA13" s="2"/>
        <tr r="AQ11" s="5"/>
      </tp>
      <tp>
        <v>12.23</v>
        <stp/>
        <stp>TUPY3_B_0</stp>
        <stp>MIN</stp>
        <tr r="AS81" s="2"/>
        <tr r="I79" s="5"/>
      </tp>
      <tp>
        <v>0</v>
        <stp/>
        <stp>VALE3_B_0</stp>
        <stp>QUL</stp>
        <tr r="BA12" s="2"/>
        <tr r="Q10" s="5"/>
      </tp>
      <tp>
        <v>0.19553072625698403</v>
        <stp/>
        <stp>RENT3_B_0</stp>
        <stp>SEM</stp>
        <tr r="BM24" s="2"/>
        <tr r="AC22" s="5"/>
      </tp>
      <tp>
        <v>0</v>
        <stp/>
        <stp>VALE3_B_0</stp>
        <stp>QTE</stp>
        <tr r="BK12" s="2"/>
        <tr r="AA10" s="5"/>
      </tp>
      <tp>
        <v>5.2600153982824995</v>
        <stp/>
        <stp>RAPT4_B_0</stp>
        <stp>MED</stp>
        <tr r="AX76" s="2"/>
        <tr r="N74" s="5"/>
      </tp>
      <tp>
        <v>19286900</v>
        <stp/>
        <stp>VALE3_B_0</stp>
        <stp>QTT</stp>
        <tr r="BB12" s="2"/>
        <tr r="R10" s="5"/>
      </tp>
      <tp>
        <v>-13.983739837398378</v>
        <stp/>
        <stp>RAPT4_B_0</stp>
        <stp>MES</stp>
        <tr r="BN76" s="2"/>
        <tr r="AD74" s="5"/>
      </tp>
      <tp>
        <v>0.64624791754389788</v>
        <stp/>
        <stp>DOLPT_E_0</stp>
        <stp>VAR</stp>
        <tr r="AV16" s="2"/>
        <tr r="L14" s="5"/>
      </tp>
      <tp t="s">
        <v>30/12/1899</v>
        <stp/>
        <stp>DOLPT_E_0</stp>
        <stp>VAL</stp>
        <tr r="BV16" s="2"/>
        <tr r="AL14" s="5"/>
      </tp>
      <tp t="s">
        <v>-</v>
        <stp/>
        <stp>MRFG3_B_0</stp>
        <stp>BLACK</stp>
        <tr r="AO66" s="5"/>
        <tr r="BY68" s="2"/>
      </tp>
      <tp t="s">
        <v>-</v>
        <stp/>
        <stp>MRVE3_B_0</stp>
        <stp>BLACK</stp>
        <tr r="BY18" s="2"/>
        <tr r="AO16" s="5"/>
      </tp>
      <tp>
        <v>0</v>
        <stp/>
        <stp>CAML3_B_0</stp>
        <stp>PRT</stp>
        <tr r="BJ83" s="2"/>
        <tr r="Z81" s="5"/>
      </tp>
      <tp>
        <v>0</v>
        <stp/>
        <stp>ARML3_B_0</stp>
        <stp>PRT</stp>
        <tr r="BJ80" s="2"/>
        <tr r="Z78" s="5"/>
      </tp>
      <tp>
        <v>0</v>
        <stp/>
        <stp>DOLPT_E_0</stp>
        <stp>VOV</stp>
        <tr r="BG16" s="2"/>
        <tr r="W14" s="5"/>
      </tp>
      <tp>
        <v>0</v>
        <stp/>
        <stp>DOLPT_E_0</stp>
        <stp>VOL</stp>
        <tr r="BC16" s="2"/>
        <tr r="S14" s="5"/>
      </tp>
      <tp>
        <v>0</v>
        <stp/>
        <stp>DOLPT_E_0</stp>
        <stp>VOC</stp>
        <tr r="BF16" s="2"/>
        <tr r="V14" s="5"/>
      </tp>
      <tp>
        <v>12.349830188679245</v>
        <stp/>
        <stp>TUPY3_B_0</stp>
        <stp>MED</stp>
        <tr r="AX81" s="2"/>
        <tr r="N79" s="5"/>
      </tp>
      <tp>
        <v>-5.2873563218390762</v>
        <stp/>
        <stp>TUPY3_B_0</stp>
        <stp>MES</stp>
        <tr r="BN81" s="2"/>
        <tr r="AD79" s="5"/>
      </tp>
      <tp>
        <v>5.16</v>
        <stp/>
        <stp>RAPT4_B_0</stp>
        <stp>MIN</stp>
        <tr r="AS76" s="2"/>
        <tr r="I74" s="5"/>
      </tp>
      <tp>
        <v>0</v>
        <stp/>
        <stp>POMO4_B_0</stp>
        <stp>PRT</stp>
        <tr r="L53" s="2"/>
      </tp>
      <tp>
        <v>0</v>
        <stp/>
        <stp>VAMO3_B_0</stp>
        <stp>PRT</stp>
        <tr r="L83" s="2"/>
        <tr r="BJ74" s="2"/>
        <tr r="Z72" s="5"/>
      </tp>
      <tp t="s">
        <v>-</v>
        <stp/>
        <stp>ECOR3_B_0</stp>
        <stp>RHO</stp>
        <tr r="CD7" s="2"/>
        <tr r="AT5" s="5"/>
      </tp>
      <tp t="s">
        <v>-</v>
        <stp/>
        <stp>GOAU4_B_0</stp>
        <stp>DELTA</stp>
        <tr r="CA19" s="2"/>
        <tr r="AQ17" s="5"/>
      </tp>
      <tp>
        <v>1507600</v>
        <stp/>
        <stp>JALL3_B_0</stp>
        <stp>QTT</stp>
        <tr r="BB69" s="2"/>
        <tr r="R67" s="5"/>
      </tp>
      <tp>
        <v>0</v>
        <stp/>
        <stp>JALL3_B_0</stp>
        <stp>QTE</stp>
        <tr r="AA67" s="5"/>
        <tr r="BK69" s="2"/>
      </tp>
      <tp>
        <v>12.54</v>
        <stp/>
        <stp>TUPY3_B_0</stp>
        <stp>MAX</stp>
        <tr r="AR81" s="2"/>
        <tr r="H79" s="5"/>
      </tp>
      <tp>
        <v>0</v>
        <stp/>
        <stp>JALL3_B_0</stp>
        <stp>QUL</stp>
        <tr r="BA69" s="2"/>
        <tr r="Q67" s="5"/>
      </tp>
      <tp>
        <v>20.14</v>
        <stp/>
        <stp>AGRO3_B_0</stp>
        <stp>OVD</stp>
        <tr r="BE71" s="2"/>
        <tr r="U69" s="5"/>
      </tp>
      <tp t="s">
        <v>-</v>
        <stp/>
        <stp>DOLPT_E_0</stp>
        <stp>VIA</stp>
        <tr r="CF16" s="2"/>
        <tr r="AV14" s="5"/>
      </tp>
      <tp t="s">
        <v>-</v>
        <stp/>
        <stp>DOLPT_E_0</stp>
        <stp>VIB</stp>
        <tr r="CG16" s="2"/>
        <tr r="AW14" s="5"/>
      </tp>
      <tp>
        <v>0</v>
        <stp/>
        <stp>BRFS3_B_0</stp>
        <stp>TRIM</stp>
        <tr r="AI31" s="5"/>
        <tr r="BS33" s="2"/>
      </tp>
      <tp>
        <v>28.47</v>
        <stp/>
        <stp>CYRE3_B_0</stp>
        <stp>OCP</stp>
        <tr r="BD28" s="2"/>
        <tr r="T26" s="5"/>
      </tp>
      <tp>
        <v>-6.2924400181077438</v>
        <stp/>
        <stp>BBAS3_B_0</stp>
        <stp>TRIM</stp>
        <tr r="BS14" s="2"/>
        <tr r="AI12" s="5"/>
      </tp>
      <tp t="s">
        <v>-</v>
        <stp/>
        <stp>MDIA3_B_0</stp>
        <stp>BLACK</stp>
        <tr r="BY78" s="2"/>
        <tr r="AO76" s="5"/>
      </tp>
      <tp>
        <v>-8.5992551408178226</v>
        <stp/>
        <stp>ABEV3_B_0</stp>
        <stp>SEMES</stp>
        <tr r="BT20" s="2"/>
        <tr r="AJ18" s="5"/>
      </tp>
      <tp>
        <v>13963</v>
        <stp/>
        <stp>ITSA4_B_0</stp>
        <stp>NEG</stp>
        <tr r="AZ31" s="2"/>
        <tr r="P29" s="5"/>
      </tp>
      <tp>
        <v>2828</v>
        <stp/>
        <stp>HBSA3_B_0</stp>
        <stp>NEG</stp>
        <tr r="AZ58" s="2"/>
        <tr r="P56" s="5"/>
      </tp>
      <tp>
        <v>6.8268015170670164</v>
        <stp/>
        <stp>CSNA3_B_0</stp>
        <stp>SEM</stp>
        <tr r="BM10" s="2"/>
        <tr r="AC8" s="5"/>
      </tp>
      <tp>
        <v>1411</v>
        <stp/>
        <stp>GFSA3_B_0</stp>
        <stp>NEG</stp>
        <tr r="AZ22" s="2"/>
        <tr r="P20" s="5"/>
      </tp>
      <tp>
        <v>21323</v>
        <stp/>
        <stp>B3SA3_B_0</stp>
        <stp>NEG</stp>
        <tr r="AZ21" s="2"/>
        <tr r="P19" s="5"/>
      </tp>
      <tp t="s">
        <v>-</v>
        <stp/>
        <stp>MGLU3_B_0</stp>
        <stp>BLACK</stp>
        <tr r="BY35" s="2"/>
        <tr r="AO33" s="5"/>
      </tp>
      <tp>
        <v>7.07</v>
        <stp/>
        <stp>KEPL3_B_0</stp>
        <stp>MIN</stp>
        <tr r="AS73" s="2"/>
        <tr r="I71" s="5"/>
      </tp>
      <tp>
        <v>1.7171717171717165</v>
        <stp/>
        <stp>AGRO3_B_0</stp>
        <stp>SEMES</stp>
        <tr r="BT71" s="2"/>
        <tr r="AJ69" s="5"/>
      </tp>
      <tp>
        <v>0</v>
        <stp/>
        <stp>MGLU3_B_0</stp>
        <stp>QUL</stp>
        <tr r="BA35" s="2"/>
        <tr r="Q33" s="5"/>
      </tp>
      <tp>
        <v>0</v>
        <stp/>
        <stp>DOLPT_E_0</stp>
        <stp>VPJ</stp>
        <tr r="BL16" s="2"/>
        <tr r="AB14" s="5"/>
      </tp>
      <tp>
        <v>13920300</v>
        <stp/>
        <stp>MGLU3_B_0</stp>
        <stp>QTT</stp>
        <tr r="BB35" s="2"/>
        <tr r="R33" s="5"/>
      </tp>
      <tp>
        <v>0</v>
        <stp/>
        <stp>MGLU3_B_0</stp>
        <stp>QTE</stp>
        <tr r="BK35" s="2"/>
        <tr r="AA33" s="5"/>
      </tp>
      <tp>
        <v>0</v>
        <stp/>
        <stp>TIMS3_B_0</stp>
        <stp>PRT</stp>
        <tr r="L78" s="2"/>
      </tp>
      <tp>
        <v>0</v>
        <stp/>
        <stp>JBSS3_B_0</stp>
        <stp>TRIM</stp>
        <tr r="BS64" s="2"/>
        <tr r="AI62" s="5"/>
      </tp>
      <tp>
        <v>1.4891179839633537</v>
        <stp/>
        <stp>RANI3_B_0</stp>
        <stp>SEM</stp>
        <tr r="BM85" s="2"/>
        <tr r="AC83" s="5"/>
        <tr r="BM92" s="2"/>
        <tr r="BM87" s="2"/>
        <tr r="BM91" s="2"/>
        <tr r="BM90" s="2"/>
        <tr r="BM89" s="2"/>
        <tr r="BM88" s="2"/>
        <tr r="BM86" s="2"/>
      </tp>
      <tp>
        <v>20.100000000000001</v>
        <stp/>
        <stp>AGRO3_B_0</stp>
        <stp>OCP</stp>
        <tr r="BD71" s="2"/>
        <tr r="T69" s="5"/>
      </tp>
      <tp t="s">
        <v>17:57:31</v>
        <stp/>
        <stp>ITUB4_B_0</stp>
        <stp>HOR</stp>
        <tr r="E30" s="5"/>
        <tr r="AO32" s="2"/>
      </tp>
      <tp>
        <v>7.15</v>
        <stp/>
        <stp>KEPL3_B_0</stp>
        <stp>MAX</stp>
        <tr r="AR73" s="2"/>
        <tr r="H71" s="5"/>
      </tp>
      <tp>
        <v>0</v>
        <stp/>
        <stp>VAMO3_B_0</stp>
        <stp>PEX</stp>
        <tr r="AU74" s="2"/>
        <tr r="K72" s="5"/>
      </tp>
      <tp>
        <v>0</v>
        <stp/>
        <stp>CAML3_B_0</stp>
        <stp>PEX</stp>
        <tr r="AU83" s="2"/>
        <tr r="K81" s="5"/>
      </tp>
      <tp>
        <v>0</v>
        <stp/>
        <stp>ARML3_B_0</stp>
        <stp>PEX</stp>
        <tr r="AU80" s="2"/>
        <tr r="K78" s="5"/>
      </tp>
      <tp>
        <v>-3.1420765027322344</v>
        <stp/>
        <stp>KEPL3_B_0</stp>
        <stp>MES</stp>
        <tr r="BN73" s="2"/>
        <tr r="AD71" s="5"/>
      </tp>
      <tp>
        <v>24</v>
        <stp/>
        <stp>RCSL3_B_0</stp>
        <stp>NEG</stp>
        <tr r="AZ65" s="2"/>
        <tr r="P63" s="5"/>
      </tp>
      <tp>
        <v>7.1048965820742263</v>
        <stp/>
        <stp>KEPL3_B_0</stp>
        <stp>MED</stp>
        <tr r="AX73" s="2"/>
        <tr r="N71" s="5"/>
      </tp>
      <tp>
        <v>0</v>
        <stp/>
        <stp>WINZ24_F_0</stp>
        <stp>ABE</stp>
        <tr r="G41" s="5"/>
        <tr r="AQ43" s="2"/>
      </tp>
      <tp t="s">
        <v>29/12/2024</v>
        <stp/>
        <stp>WDOM24_F_0</stp>
        <stp>VAL</stp>
        <tr r="BV49" s="2"/>
        <tr r="AL47" s="5"/>
      </tp>
      <tp t="s">
        <v>12/06/2024</v>
        <stp/>
        <stp>WINM24_F_0</stp>
        <stp>VAL</stp>
        <tr r="BV40" s="2"/>
        <tr r="AL38" s="5"/>
      </tp>
      <tp>
        <v>0</v>
        <stp/>
        <stp>WDOX24_F_0</stp>
        <stp>CAB</stp>
        <tr r="BW56" s="2"/>
        <tr r="AM54" s="5"/>
      </tp>
      <tp>
        <v>0</v>
        <stp/>
        <stp>WINM24_F_0</stp>
        <stp>VAR</stp>
        <tr r="AV40" s="2"/>
        <tr r="L38" s="5"/>
      </tp>
      <tp>
        <v>0</v>
        <stp/>
        <stp>WDOV24_F_0</stp>
        <stp>MAX</stp>
        <tr r="AR57" s="2"/>
        <tr r="H55" s="5"/>
      </tp>
      <tp>
        <v>0</v>
        <stp/>
        <stp>WINV24_F_0</stp>
        <stp>MAX</stp>
        <tr r="AR44" s="2"/>
        <tr r="H42" s="5"/>
      </tp>
      <tp>
        <v>0</v>
        <stp/>
        <stp>WDOM24_F_0</stp>
        <stp>VAR</stp>
        <tr r="L47" s="5"/>
        <tr r="AV49" s="2"/>
      </tp>
      <tp>
        <v>0</v>
        <stp/>
        <stp>WDOH24_F_0</stp>
        <stp>SEM</stp>
        <tr r="BM52" s="2"/>
        <tr r="AC50" s="5"/>
      </tp>
      <tp t="s">
        <v>29/12/2024</v>
        <stp/>
        <stp>WDOM24_F_0</stp>
        <stp>VEN</stp>
        <tr r="BU49" s="2"/>
        <tr r="AK47" s="5"/>
      </tp>
      <tp>
        <v>0</v>
        <stp/>
        <stp>WINV24_F_0</stp>
        <stp>MED</stp>
        <tr r="AX44" s="2"/>
        <tr r="N42" s="5"/>
      </tp>
      <tp>
        <v>0</v>
        <stp/>
        <stp>WDOV24_F_0</stp>
        <stp>MED</stp>
        <tr r="AX57" s="2"/>
        <tr r="N55" s="5"/>
      </tp>
      <tp>
        <v>0</v>
        <stp/>
        <stp>WDOU24_F_0</stp>
        <stp>NEG</stp>
        <tr r="AZ55" s="2"/>
        <tr r="P53" s="5"/>
      </tp>
      <tp t="s">
        <v>12/06/2024</v>
        <stp/>
        <stp>WINM24_F_0</stp>
        <stp>VEN</stp>
        <tr r="BU40" s="2"/>
        <tr r="AK38" s="5"/>
      </tp>
      <tp>
        <v>0</v>
        <stp/>
        <stp>WINV24_F_0</stp>
        <stp>MES</stp>
        <tr r="BN44" s="2"/>
        <tr r="AD42" s="5"/>
      </tp>
      <tp>
        <v>0</v>
        <stp/>
        <stp>WDOK24_F_0</stp>
        <stp>PEX</stp>
        <tr r="AU39" s="2"/>
        <tr r="K37" s="5"/>
      </tp>
      <tp>
        <v>0</v>
        <stp/>
        <stp>WDOV24_F_0</stp>
        <stp>MES</stp>
        <tr r="BN57" s="2"/>
        <tr r="AD55" s="5"/>
      </tp>
      <tp>
        <v>0</v>
        <stp/>
        <stp>WINZ24_F_0</stp>
        <stp>AJA</stp>
        <tr r="BI43" s="2"/>
        <tr r="Y41" s="5"/>
      </tp>
      <tp>
        <v>0</v>
        <stp/>
        <stp>KLBN11_B_0</stp>
        <stp>QUL</stp>
        <tr r="BA82" s="2"/>
        <tr r="Q80" s="5"/>
      </tp>
      <tp>
        <v>0</v>
        <stp/>
        <stp>WINZ24_F_0</stp>
        <stp>AJU</stp>
        <tr r="BH43" s="2"/>
        <tr r="X41" s="5"/>
      </tp>
      <tp>
        <v>0</v>
        <stp/>
        <stp>KLBN11_B_0</stp>
        <stp>QTE</stp>
        <tr r="BK82" s="2"/>
        <tr r="AA80" s="5"/>
      </tp>
      <tp>
        <v>4123100</v>
        <stp/>
        <stp>KLBN11_B_0</stp>
        <stp>QTT</stp>
        <tr r="BB82" s="2"/>
        <tr r="R80" s="5"/>
      </tp>
      <tp t="s">
        <v>-</v>
        <stp/>
        <stp>WINM24_F_0</stp>
        <stp>VIA</stp>
        <tr r="CF40" s="2"/>
        <tr r="AV38" s="5"/>
      </tp>
      <tp>
        <v>0</v>
        <stp/>
        <stp>WDOV24_F_0</stp>
        <stp>MIN</stp>
        <tr r="AS57" s="2"/>
        <tr r="I55" s="5"/>
      </tp>
      <tp t="s">
        <v>-</v>
        <stp/>
        <stp>WINM24_F_0</stp>
        <stp>VIB</stp>
        <tr r="AW38" s="5"/>
        <tr r="CG40" s="2"/>
      </tp>
      <tp t="s">
        <v>-</v>
        <stp/>
        <stp>WDOM24_F_0</stp>
        <stp>VIA</stp>
        <tr r="CF49" s="2"/>
        <tr r="AV47" s="5"/>
      </tp>
      <tp t="s">
        <v>-</v>
        <stp/>
        <stp>WDOM24_F_0</stp>
        <stp>VIB</stp>
        <tr r="CG49" s="2"/>
        <tr r="AW47" s="5"/>
      </tp>
      <tp>
        <v>0</v>
        <stp/>
        <stp>WINV24_F_0</stp>
        <stp>MIN</stp>
        <tr r="AS44" s="2"/>
        <tr r="I42" s="5"/>
      </tp>
      <tp>
        <v>0</v>
        <stp/>
        <stp>INDM24_F_0</stp>
        <stp>VPJ</stp>
        <tr r="AB43" s="5"/>
        <tr r="BL45" s="2"/>
      </tp>
      <tp>
        <v>0</v>
        <stp/>
        <stp>WINZ24_F_0</stp>
        <stp>ANO</stp>
        <tr r="BR43" s="2"/>
        <tr r="AH41" s="5"/>
      </tp>
      <tp>
        <v>0</v>
        <stp/>
        <stp>WDOM24_F_0</stp>
        <stp>VOL</stp>
        <tr r="BC49" s="2"/>
        <tr r="S47" s="5"/>
      </tp>
      <tp>
        <v>0</v>
        <stp/>
        <stp>WINM24_F_0</stp>
        <stp>VOC</stp>
        <tr r="BF40" s="2"/>
        <tr r="V38" s="5"/>
      </tp>
      <tp>
        <v>0</v>
        <stp/>
        <stp>WINM24_F_0</stp>
        <stp>VOL</stp>
        <tr r="BC40" s="2"/>
        <tr r="S38" s="5"/>
      </tp>
      <tp>
        <v>0</v>
        <stp/>
        <stp>WDOM24_F_0</stp>
        <stp>VOC</stp>
        <tr r="V47" s="5"/>
        <tr r="BF49" s="2"/>
      </tp>
      <tp>
        <v>0</v>
        <stp/>
        <stp>WINM24_F_0</stp>
        <stp>VOV</stp>
        <tr r="BG40" s="2"/>
        <tr r="W38" s="5"/>
      </tp>
      <tp>
        <v>0</v>
        <stp/>
        <stp>WDOM24_F_0</stp>
        <stp>VOV</stp>
        <tr r="W47" s="5"/>
        <tr r="BG49" s="2"/>
      </tp>
      <tp>
        <v>0</v>
        <stp/>
        <stp>WDON24_F_0</stp>
        <stp>ULT</stp>
        <tr r="AP50" s="2"/>
        <tr r="F48" s="5"/>
      </tp>
      <tp t="s">
        <v>-</v>
        <stp/>
        <stp>IFIX_B_0</stp>
        <stp>VINT</stp>
        <tr r="AZ46" s="5"/>
        <tr r="CJ48" s="2"/>
      </tp>
      <tp>
        <v>0</v>
        <stp/>
        <stp>WDOK24_F_0</stp>
        <stp>PRT</stp>
        <tr r="BJ39" s="2"/>
        <tr r="Z37" s="5"/>
      </tp>
      <tp>
        <v>0</v>
        <stp/>
        <stp>WDOM24_F_0</stp>
        <stp>VPJ</stp>
        <tr r="BL49" s="2"/>
        <tr r="AB47" s="5"/>
      </tp>
      <tp>
        <v>0</v>
        <stp/>
        <stp>WINM24_F_0</stp>
        <stp>VPJ</stp>
        <tr r="AB38" s="5"/>
        <tr r="BL40" s="2"/>
      </tp>
      <tp>
        <v>0</v>
        <stp/>
        <stp>INDM24_F_0</stp>
        <stp>VOC</stp>
        <tr r="BF45" s="2"/>
        <tr r="V43" s="5"/>
      </tp>
      <tp>
        <v>0</v>
        <stp/>
        <stp>INDM24_F_0</stp>
        <stp>VOL</stp>
        <tr r="S43" s="5"/>
        <tr r="BC45" s="2"/>
      </tp>
      <tp>
        <v>0</v>
        <stp/>
        <stp>INDM24_F_0</stp>
        <stp>VOV</stp>
        <tr r="W43" s="5"/>
        <tr r="BG45" s="2"/>
      </tp>
      <tp t="s">
        <v>-</v>
        <stp/>
        <stp>INDM24_F_0</stp>
        <stp>VIB</stp>
        <tr r="AW43" s="5"/>
        <tr r="CG45" s="2"/>
      </tp>
      <tp t="s">
        <v>-</v>
        <stp/>
        <stp>INDM24_F_0</stp>
        <stp>VIA</stp>
        <tr r="AV43" s="5"/>
        <tr r="CF45" s="2"/>
      </tp>
      <tp t="s">
        <v>-</v>
        <stp/>
        <stp>IFIX_B_0</stp>
        <stp>VIVH</stp>
        <tr r="AY46" s="5"/>
        <tr r="CI48" s="2"/>
      </tp>
      <tp>
        <v>0</v>
        <stp/>
        <stp>WINJ24_F_0</stp>
        <stp>QTE</stp>
        <tr r="BK38" s="2"/>
        <tr r="AA36" s="5"/>
      </tp>
      <tp>
        <v>0</v>
        <stp/>
        <stp>WDOJ24_F_0</stp>
        <stp>QTE</stp>
        <tr r="BK51" s="2"/>
        <tr r="AA49" s="5"/>
      </tp>
      <tp>
        <v>0</v>
        <stp/>
        <stp>WINJ24_F_0</stp>
        <stp>QTT</stp>
        <tr r="BB38" s="2"/>
        <tr r="R36" s="5"/>
      </tp>
      <tp>
        <v>0</v>
        <stp/>
        <stp>WDOJ24_F_0</stp>
        <stp>QTT</stp>
        <tr r="BB51" s="2"/>
        <tr r="R49" s="5"/>
      </tp>
      <tp>
        <v>0</v>
        <stp/>
        <stp>WDOJ24_F_0</stp>
        <stp>QUL</stp>
        <tr r="BA51" s="2"/>
        <tr r="Q49" s="5"/>
      </tp>
      <tp>
        <v>0</v>
        <stp/>
        <stp>WINJ24_F_0</stp>
        <stp>QUL</stp>
        <tr r="BA38" s="2"/>
        <tr r="Q36" s="5"/>
      </tp>
      <tp t="s">
        <v>29/12/2024</v>
        <stp/>
        <stp>INDM24_F_0</stp>
        <stp>VEN</stp>
        <tr r="AK43" s="5"/>
        <tr r="BU45" s="2"/>
      </tp>
      <tp t="s">
        <v>29/12/2024</v>
        <stp/>
        <stp>INDM24_F_0</stp>
        <stp>VAL</stp>
        <tr r="AL43" s="5"/>
        <tr r="BV45" s="2"/>
      </tp>
      <tp>
        <v>0</v>
        <stp/>
        <stp>INDM24_F_0</stp>
        <stp>VAR</stp>
        <tr r="L43" s="5"/>
        <tr r="AV45" s="2"/>
      </tp>
      <tp>
        <v>-4.9100000000000144E-2</v>
        <stp/>
        <stp>ARML3_B_0</stp>
        <stp>VARPTS</stp>
        <tr r="AW80" s="2"/>
        <tr r="M78" s="5"/>
      </tp>
      <tp>
        <v>-8.9999999999999858E-2</v>
        <stp/>
        <stp>BRAP4_B_0</stp>
        <stp>VARPTS</stp>
        <tr r="AW30" s="2"/>
        <tr r="M28" s="5"/>
      </tp>
      <tp>
        <v>0.17999999999999972</v>
        <stp/>
        <stp>LREN3_B_0</stp>
        <stp>VARPTS</stp>
        <tr r="AW34" s="2"/>
        <tr r="M32" s="5"/>
      </tp>
      <tp>
        <v>0</v>
        <stp/>
        <stp>MRFG3_B_0</stp>
        <stp>VARPTS</stp>
        <tr r="M66" s="5"/>
        <tr r="AW68" s="2"/>
      </tp>
      <tp>
        <v>0</v>
        <stp/>
        <stp>CRFB3_B_0</stp>
        <stp>VARPTS</stp>
        <tr r="AW63" s="2"/>
        <tr r="M61" s="5"/>
      </tp>
      <tp>
        <v>0</v>
        <stp/>
        <stp>BRFS3_B_0</stp>
        <stp>VARPTS</stp>
        <tr r="AW33" s="2"/>
        <tr r="M31" s="5"/>
      </tp>
      <tp>
        <v>0</v>
        <stp/>
        <stp>ARZZ3_B_0</stp>
        <stp>VARPTS</stp>
        <tr r="AW72" s="2"/>
        <tr r="M70" s="5"/>
      </tp>
      <tp>
        <v>1.9999999999999574E-2</v>
        <stp/>
        <stp>MRVE3_B_0</stp>
        <stp>VARPTS</stp>
        <tr r="AW18" s="2"/>
        <tr r="M16" s="5"/>
      </tp>
      <tp t="s">
        <v>-</v>
        <stp/>
        <stp>DOLPRO_#_0</stp>
        <stp>VIVH</stp>
        <tr r="CI46" s="2"/>
        <tr r="AY44" s="5"/>
      </tp>
      <tp t="s">
        <v>-</v>
        <stp/>
        <stp>DOLPRO_#_0</stp>
        <stp>VINT</stp>
        <tr r="CJ46" s="2"/>
        <tr r="AZ44" s="5"/>
      </tp>
      <tp>
        <v>42.800000000000004</v>
        <stp/>
        <stp>TOTS3_B_0</stp>
        <stp>FEC</stp>
        <tr r="J79" s="2"/>
      </tp>
      <tp t="s">
        <v>-</v>
        <stp/>
        <stp>MRFG3_B_0</stp>
        <stp>VIVH</stp>
        <tr r="CI68" s="2"/>
        <tr r="AY66" s="5"/>
      </tp>
      <tp>
        <v>0.43668122270742288</v>
        <stp/>
        <stp>BBAS3_B_0</stp>
        <stp>SEM</stp>
        <tr r="BM14" s="2"/>
        <tr r="AC12" s="5"/>
      </tp>
      <tp t="s">
        <v>-</v>
        <stp/>
        <stp>VAMO3_B_0</stp>
        <stp>GAMA</stp>
        <tr r="CB74" s="2"/>
        <tr r="AR72" s="5"/>
      </tp>
      <tp>
        <v>0</v>
        <stp/>
        <stp>GGBR4_B_0</stp>
        <stp>PEX</stp>
        <tr r="AU13" s="2"/>
        <tr r="K11" s="5"/>
      </tp>
      <tp>
        <v>-4.7979797979798073</v>
        <stp/>
        <stp>PCAR3_B_0</stp>
        <stp>SEM</stp>
        <tr r="AC68" s="5"/>
        <tr r="BM70" s="2"/>
      </tp>
      <tp>
        <v>0</v>
        <stp/>
        <stp>EMBR3_B_0</stp>
        <stp>PEX</stp>
        <tr r="AU26" s="2"/>
        <tr r="K24" s="5"/>
      </tp>
      <tp>
        <v>32.21</v>
        <stp/>
        <stp>PETR3_B_0</stp>
        <stp>FEC</stp>
        <tr r="J61" s="2"/>
      </tp>
      <tp>
        <v>30.23</v>
        <stp/>
        <stp>PETR4_B_0</stp>
        <stp>FEC</stp>
        <tr r="J62" s="2"/>
        <tr r="AT11" s="2"/>
        <tr r="J9" s="5"/>
      </tp>
      <tp t="s">
        <v>00:00:00</v>
        <stp/>
        <stp>ARZZ3_B_0</stp>
        <stp>HOR</stp>
        <tr r="E70" s="5"/>
        <tr r="AO72" s="2"/>
      </tp>
      <tp>
        <v>0.70175438596491801</v>
        <stp/>
        <stp>BRAP4_B_0</stp>
        <stp>SEM</stp>
        <tr r="BM30" s="2"/>
        <tr r="AC28" s="5"/>
      </tp>
      <tp t="s">
        <v>14/10/2025</v>
        <stp/>
        <stp>VIVT3_B_0</stp>
        <stp>DAT</stp>
        <tr r="D7" s="5"/>
        <tr r="AN9" s="2"/>
      </tp>
      <tp>
        <v>660584059</v>
        <stp/>
        <stp>BBDC4_B_0</stp>
        <stp>VPJ</stp>
        <tr r="BL27" s="2"/>
        <tr r="AB25" s="5"/>
      </tp>
      <tp>
        <v>14</v>
        <stp/>
        <stp>MOTV3_B_0</stp>
        <stp>FEC</stp>
        <tr r="J56" s="2"/>
      </tp>
      <tp t="s">
        <v>-</v>
        <stp/>
        <stp>SMTO3_B_0</stp>
        <stp>GAMA</stp>
        <tr r="AR64" s="5"/>
        <tr r="CB66" s="2"/>
      </tp>
      <tp>
        <v>0</v>
        <stp/>
        <stp>SLCE3_B_0</stp>
        <stp>QUL</stp>
        <tr r="BA79" s="2"/>
        <tr r="Q77" s="5"/>
      </tp>
      <tp>
        <v>8.4700000000000006</v>
        <stp/>
        <stp>NATU3_B_0</stp>
        <stp>FEC</stp>
        <tr r="J59" s="2"/>
      </tp>
      <tp>
        <v>1.9920318725099528</v>
        <stp/>
        <stp>GOAU4_B_0</stp>
        <stp>SEM</stp>
        <tr r="BM19" s="2"/>
        <tr r="AC17" s="5"/>
      </tp>
      <tp>
        <v>0</v>
        <stp/>
        <stp>SLCE3_B_0</stp>
        <stp>QTE</stp>
        <tr r="BK79" s="2"/>
        <tr r="AA77" s="5"/>
      </tp>
      <tp>
        <v>-2.2082018927444884</v>
        <stp/>
        <stp>GMAT3_B_0</stp>
        <stp>SEM</stp>
        <tr r="BM59" s="2"/>
        <tr r="AC57" s="5"/>
      </tp>
      <tp>
        <v>0</v>
        <stp/>
        <stp>JBSS3_B_0</stp>
        <stp>ABE</stp>
        <tr r="AQ64" s="2"/>
        <tr r="G62" s="5"/>
      </tp>
      <tp>
        <v>1116300</v>
        <stp/>
        <stp>SLCE3_B_0</stp>
        <stp>QTT</stp>
        <tr r="BB79" s="2"/>
        <tr r="R77" s="5"/>
      </tp>
      <tp t="s">
        <v>-</v>
        <stp/>
        <stp>BRFS3_B_0</stp>
        <stp>BLACK</stp>
        <tr r="BY33" s="2"/>
        <tr r="AO31" s="5"/>
      </tp>
      <tp>
        <v>2.1819228020677612</v>
        <stp/>
        <stp>ITSA4_B_0</stp>
        <stp>SEMES</stp>
        <tr r="BT31" s="2"/>
        <tr r="AJ29" s="5"/>
      </tp>
      <tp>
        <v>2.3534459904506568</v>
        <stp/>
        <stp>ITUB4_B_0</stp>
        <stp>SEMES</stp>
        <tr r="BT32" s="2"/>
        <tr r="AJ30" s="5"/>
      </tp>
      <tp t="s">
        <v>-</v>
        <stp/>
        <stp>CMIG4_B_0</stp>
        <stp>VIVH</stp>
        <tr r="CI23" s="2"/>
        <tr r="AY21" s="5"/>
      </tp>
      <tp>
        <v>0</v>
        <stp/>
        <stp>JBSS3_B_0</stp>
        <stp>ANO</stp>
        <tr r="BR64" s="2"/>
        <tr r="AH62" s="5"/>
      </tp>
      <tp>
        <v>0</v>
        <stp/>
        <stp>DXCO3_B_0</stp>
        <stp>QUL</stp>
        <tr r="BA75" s="2"/>
        <tr r="Q73" s="5"/>
      </tp>
      <tp>
        <v>0</v>
        <stp/>
        <stp>IFIX_B_0</stp>
        <stp>PRT</stp>
        <tr r="Z46" s="5"/>
        <tr r="BJ48" s="2"/>
      </tp>
      <tp t="s">
        <v>-</v>
        <stp/>
        <stp>SLCE3_B_0</stp>
        <stp>IMPVT</stp>
        <tr r="BZ79" s="2"/>
        <tr r="AP77" s="5"/>
      </tp>
      <tp t="s">
        <v>-</v>
        <stp/>
        <stp>WDOFUT_F_0</stp>
        <stp>RHO</stp>
        <tr r="CD37" s="2"/>
        <tr r="AT35" s="5"/>
      </tp>
      <tp t="s">
        <v>-</v>
        <stp/>
        <stp>WINFUT_F_0</stp>
        <stp>RHO</stp>
        <tr r="CD36" s="2"/>
        <tr r="AT34" s="5"/>
      </tp>
      <tp>
        <v>2024600</v>
        <stp/>
        <stp>DXCO3_B_0</stp>
        <stp>QTT</stp>
        <tr r="BB75" s="2"/>
        <tr r="R73" s="5"/>
      </tp>
      <tp>
        <v>0</v>
        <stp/>
        <stp>DXCO3_B_0</stp>
        <stp>QTE</stp>
        <tr r="BK75" s="2"/>
        <tr r="AA73" s="5"/>
      </tp>
      <tp t="s">
        <v>-</v>
        <stp/>
        <stp>SMTO3_B_0</stp>
        <stp>IMPVT</stp>
        <tr r="AP64" s="5"/>
        <tr r="BZ66" s="2"/>
      </tp>
      <tp>
        <v>0</v>
        <stp/>
        <stp>JBSS3_B_0</stp>
        <stp>AJU</stp>
        <tr r="BH64" s="2"/>
        <tr r="X62" s="5"/>
      </tp>
      <tp>
        <v>0</v>
        <stp/>
        <stp>JBSS3_B_0</stp>
        <stp>AJA</stp>
        <tr r="BI64" s="2"/>
        <tr r="Y62" s="5"/>
      </tp>
      <tp>
        <v>0</v>
        <stp/>
        <stp>RCSL3_B_0</stp>
        <stp>AJA</stp>
        <tr r="BI65" s="2"/>
        <tr r="Y63" s="5"/>
      </tp>
      <tp t="s">
        <v>-</v>
        <stp/>
        <stp>BBDC4_B_0</stp>
        <stp>VEN</stp>
        <tr r="BU27" s="2"/>
        <tr r="AK25" s="5"/>
      </tp>
      <tp>
        <v>0</v>
        <stp/>
        <stp>RCSL3_B_0</stp>
        <stp>AJU</stp>
        <tr r="BH65" s="2"/>
        <tr r="X63" s="5"/>
      </tp>
      <tp t="s">
        <v>-</v>
        <stp/>
        <stp>BEEF3_B_0</stp>
        <stp>BLACK</stp>
        <tr r="AO65" s="5"/>
        <tr r="BY67" s="2"/>
      </tp>
      <tp t="s">
        <v>-</v>
        <stp/>
        <stp>CMIG4_B_0</stp>
        <stp>VINT</stp>
        <tr r="CJ23" s="2"/>
        <tr r="AZ21" s="5"/>
      </tp>
      <tp t="s">
        <v>14/10/2025</v>
        <stp/>
        <stp>MRVE3_B_0</stp>
        <stp>DAT</stp>
        <tr r="D16" s="5"/>
        <tr r="AN18" s="2"/>
      </tp>
      <tp t="s">
        <v>-</v>
        <stp/>
        <stp>DXCO3_B_0</stp>
        <stp>GAMA</stp>
        <tr r="CB75" s="2"/>
        <tr r="AR73" s="5"/>
      </tp>
      <tp t="s">
        <v>-</v>
        <stp/>
        <stp>INDFUT_F_0</stp>
        <stp>RHO</stp>
        <tr r="CD17" s="2"/>
        <tr r="AT15" s="5"/>
      </tp>
      <tp t="s">
        <v>-</v>
        <stp/>
        <stp>USIM5_B_0</stp>
        <stp>IMPVT</stp>
        <tr r="BZ29" s="2"/>
        <tr r="AP27" s="5"/>
      </tp>
      <tp>
        <v>-77.03125</v>
        <stp/>
        <stp>RCSL3_B_0</stp>
        <stp>ANO</stp>
        <tr r="BR65" s="2"/>
        <tr r="AH63" s="5"/>
      </tp>
      <tp>
        <v>1.4184397163120472</v>
        <stp/>
        <stp>BBDC4_B_0</stp>
        <stp>VAR</stp>
        <tr r="AV27" s="2"/>
        <tr r="L25" s="5"/>
      </tp>
      <tp>
        <v>2.9000000000000004</v>
        <stp/>
        <stp>COGN3_B_0</stp>
        <stp>ULT</stp>
        <tr r="K23" s="2"/>
      </tp>
      <tp t="s">
        <v>31/12/9999</v>
        <stp/>
        <stp>BBDC4_B_0</stp>
        <stp>VAL</stp>
        <tr r="BV27" s="2"/>
        <tr r="AL25" s="5"/>
      </tp>
      <tp>
        <v>10.97</v>
        <stp/>
        <stp>ITSA4_B_0</stp>
        <stp>ABE</stp>
        <tr r="G29" s="5"/>
        <tr r="AQ31" s="2"/>
      </tp>
      <tp>
        <v>3.66</v>
        <stp/>
        <stp>HBSA3_B_0</stp>
        <stp>ABE</stp>
        <tr r="G56" s="5"/>
        <tr r="AQ58" s="2"/>
      </tp>
      <tp>
        <v>6.7</v>
        <stp/>
        <stp>GFSA3_B_0</stp>
        <stp>ABE</stp>
        <tr r="G20" s="5"/>
        <tr r="AQ22" s="2"/>
      </tp>
      <tp>
        <v>12.66</v>
        <stp/>
        <stp>B3SA3_B_0</stp>
        <stp>ABE</stp>
        <tr r="G19" s="5"/>
        <tr r="AQ21" s="2"/>
      </tp>
      <tp t="s">
        <v>-</v>
        <stp/>
        <stp>SUZB3_B_0</stp>
        <stp>IMPVT</stp>
        <tr r="BZ25" s="2"/>
        <tr r="AP23" s="5"/>
      </tp>
      <tp>
        <v>0</v>
        <stp/>
        <stp>IRBR3_B_0</stp>
        <stp>PRT</stp>
        <tr r="L45" s="2"/>
      </tp>
      <tp>
        <v>0</v>
        <stp/>
        <stp>EMBR3_B_0</stp>
        <stp>PRT</stp>
        <tr r="L34" s="2"/>
        <tr r="BJ26" s="2"/>
        <tr r="Z24" s="5"/>
      </tp>
      <tp>
        <v>0</v>
        <stp/>
        <stp>GGBR4_B_0</stp>
        <stp>PRT</stp>
        <tr r="L40" s="2"/>
        <tr r="BJ13" s="2"/>
        <tr r="Z11" s="5"/>
      </tp>
      <tp>
        <v>0</v>
        <stp/>
        <stp>VBBR3_B_0</stp>
        <stp>PRT</stp>
        <tr r="L84" s="2"/>
      </tp>
      <tp t="s">
        <v>-</v>
        <stp/>
        <stp>AGRO3_B_0</stp>
        <stp>GAMA</stp>
        <tr r="CB71" s="2"/>
        <tr r="AR69" s="5"/>
      </tp>
      <tp t="s">
        <v>-</v>
        <stp/>
        <stp>BBAS3_B_0</stp>
        <stp>BLACK</stp>
        <tr r="BY14" s="2"/>
        <tr r="AO12" s="5"/>
      </tp>
      <tp>
        <v>1.54</v>
        <stp/>
        <stp>RCSL3_B_0</stp>
        <stp>ABE</stp>
        <tr r="G63" s="5"/>
        <tr r="AQ65" s="2"/>
      </tp>
      <tp t="s">
        <v>-</v>
        <stp/>
        <stp>MRFG3_B_0</stp>
        <stp>VINT</stp>
        <tr r="CJ68" s="2"/>
        <tr r="AZ66" s="5"/>
      </tp>
      <tp>
        <v>-71.779661016949163</v>
        <stp/>
        <stp>GFSA3_B_0</stp>
        <stp>ANO</stp>
        <tr r="BR22" s="2"/>
        <tr r="AH20" s="5"/>
      </tp>
      <tp>
        <v>23.970207637750168</v>
        <stp/>
        <stp>B3SA3_B_0</stp>
        <stp>ANO</stp>
        <tr r="BR21" s="2"/>
        <tr r="AH19" s="5"/>
      </tp>
      <tp>
        <v>36.831378007556168</v>
        <stp/>
        <stp>ITSA4_B_0</stp>
        <stp>ANO</stp>
        <tr r="BR31" s="2"/>
        <tr r="AH29" s="5"/>
      </tp>
      <tp>
        <v>46.745653773183108</v>
        <stp/>
        <stp>HBSA3_B_0</stp>
        <stp>ANO</stp>
        <tr r="BR58" s="2"/>
        <tr r="AH56" s="5"/>
      </tp>
      <tp>
        <v>100</v>
        <stp/>
        <stp>BBDC4_B_0</stp>
        <stp>VOV</stp>
        <tr r="BG27" s="2"/>
        <tr r="W25" s="5"/>
      </tp>
      <tp>
        <v>660584059</v>
        <stp/>
        <stp>BBDC4_B_0</stp>
        <stp>VOL</stp>
        <tr r="BC27" s="2"/>
        <tr r="S25" s="5"/>
      </tp>
      <tp>
        <v>-0.36496350364962721</v>
        <stp/>
        <stp>ASAI3_B_0</stp>
        <stp>SEM</stp>
        <tr r="AC59" s="5"/>
        <tr r="BM61" s="2"/>
      </tp>
      <tp>
        <v>5700</v>
        <stp/>
        <stp>BBDC4_B_0</stp>
        <stp>VOC</stp>
        <tr r="BF27" s="2"/>
        <tr r="V25" s="5"/>
      </tp>
      <tp t="s">
        <v>17:07:32</v>
        <stp/>
        <stp>SUZB3_B_0</stp>
        <stp>HOR</stp>
        <tr r="AO25" s="2"/>
        <tr r="E23" s="5"/>
      </tp>
      <tp>
        <v>0</v>
        <stp/>
        <stp>IFIX_B_0</stp>
        <stp>PEX</stp>
        <tr r="K46" s="5"/>
        <tr r="AU48" s="2"/>
      </tp>
      <tp>
        <v>15.450000000000001</v>
        <stp/>
        <stp>SMTO3_B_0</stp>
        <stp>FEC</stp>
        <tr r="J64" s="5"/>
        <tr r="AT66" s="2"/>
      </tp>
      <tp t="s">
        <v>-</v>
        <stp/>
        <stp>BBDC4_B_0</stp>
        <stp>VIB</stp>
        <tr r="AW25" s="5"/>
        <tr r="CG27" s="2"/>
      </tp>
      <tp t="s">
        <v>-</v>
        <stp/>
        <stp>BBDC4_B_0</stp>
        <stp>VIA</stp>
        <tr r="CF27" s="2"/>
        <tr r="AV25" s="5"/>
      </tp>
      <tp>
        <v>0</v>
        <stp/>
        <stp>ITSA4_B_0</stp>
        <stp>AJU</stp>
        <tr r="BH31" s="2"/>
        <tr r="X29" s="5"/>
      </tp>
      <tp>
        <v>0</v>
        <stp/>
        <stp>HBSA3_B_0</stp>
        <stp>AJU</stp>
        <tr r="BH58" s="2"/>
        <tr r="X56" s="5"/>
      </tp>
      <tp>
        <v>0</v>
        <stp/>
        <stp>GFSA3_B_0</stp>
        <stp>AJU</stp>
        <tr r="BH22" s="2"/>
        <tr r="X20" s="5"/>
      </tp>
      <tp>
        <v>0</v>
        <stp/>
        <stp>B3SA3_B_0</stp>
        <stp>AJU</stp>
        <tr r="BH21" s="2"/>
        <tr r="X19" s="5"/>
      </tp>
      <tp>
        <v>0</v>
        <stp/>
        <stp>HBSA3_B_0</stp>
        <stp>AJA</stp>
        <tr r="BI58" s="2"/>
        <tr r="Y56" s="5"/>
      </tp>
      <tp>
        <v>0</v>
        <stp/>
        <stp>ITSA4_B_0</stp>
        <stp>AJA</stp>
        <tr r="BI31" s="2"/>
        <tr r="Y29" s="5"/>
      </tp>
      <tp>
        <v>0.17035775127767949</v>
        <stp/>
        <stp>CSAN3_B_0</stp>
        <stp>SEM</stp>
        <tr r="BM62" s="2"/>
        <tr r="AC60" s="5"/>
      </tp>
      <tp>
        <v>0</v>
        <stp/>
        <stp>B3SA3_B_0</stp>
        <stp>AJA</stp>
        <tr r="BI21" s="2"/>
        <tr r="Y19" s="5"/>
      </tp>
      <tp>
        <v>0</v>
        <stp/>
        <stp>GFSA3_B_0</stp>
        <stp>AJA</stp>
        <tr r="BI22" s="2"/>
        <tr r="Y20" s="5"/>
      </tp>
      <tp t="s">
        <v>-</v>
        <stp/>
        <stp>DOLFUT_F_0</stp>
        <stp>RHO</stp>
        <tr r="AT13" s="5"/>
        <tr r="CD15" s="2"/>
      </tp>
      <tp>
        <v>37.33</v>
        <stp/>
        <stp>WEGE3_B_0</stp>
        <stp>ULT</stp>
        <tr r="K86" s="2"/>
      </tp>
      <tp>
        <v>35.39</v>
        <stp/>
        <stp>EQTL3_B_0</stp>
        <stp>FEC</stp>
        <tr r="J38" s="2"/>
      </tp>
      <tp>
        <v>0</v>
        <stp/>
        <stp>WDOU24_F_0</stp>
        <stp>ABE</stp>
        <tr r="AQ55" s="2"/>
        <tr r="G53" s="5"/>
      </tp>
      <tp t="s">
        <v>-</v>
        <stp/>
        <stp>B3SA3_B_0</stp>
        <stp>BLACK</stp>
        <tr r="BY21" s="2"/>
        <tr r="AO19" s="5"/>
      </tp>
      <tp>
        <v>0</v>
        <stp/>
        <stp>WDOG24_F_0</stp>
        <stp>SEM</stp>
        <tr r="BM53" s="2"/>
        <tr r="AC51" s="5"/>
      </tp>
      <tp>
        <v>0</v>
        <stp/>
        <stp>WINZ24_F_0</stp>
        <stp>NEG</stp>
        <tr r="AZ43" s="2"/>
        <tr r="P41" s="5"/>
      </tp>
      <tp>
        <v>0</v>
        <stp/>
        <stp>WING24_F_0</stp>
        <stp>SEM</stp>
        <tr r="BM42" s="2"/>
        <tr r="AC40" s="5"/>
      </tp>
      <tp>
        <v>0</v>
        <stp/>
        <stp>WDOU24_F_0</stp>
        <stp>AJA</stp>
        <tr r="BI55" s="2"/>
        <tr r="Y53" s="5"/>
      </tp>
      <tp>
        <v>0</v>
        <stp/>
        <stp>WDOU24_F_0</stp>
        <stp>AJU</stp>
        <tr r="BH55" s="2"/>
        <tr r="X53" s="5"/>
      </tp>
      <tp>
        <v>0</v>
        <stp/>
        <stp>WDOU24_F_0</stp>
        <stp>ANO</stp>
        <tr r="BR55" s="2"/>
        <tr r="AH53" s="5"/>
      </tp>
      <tp>
        <v>35.85</v>
        <stp/>
        <stp>TAEE11_B_0</stp>
        <stp>ULT</stp>
        <tr r="K76" s="2"/>
      </tp>
      <tp t="s">
        <v>NONE</v>
        <stp/>
        <stp>WINQ24_F_0</stp>
        <stp>EST</stp>
        <tr r="BX41" s="2"/>
        <tr r="AN39" s="5"/>
      </tp>
      <tp t="s">
        <v>NONE</v>
        <stp/>
        <stp>WDOQ24_F_0</stp>
        <stp>EST</stp>
        <tr r="AN52" s="5"/>
        <tr r="BX54" s="2"/>
      </tp>
      <tp t="s">
        <v>15/10/2025</v>
        <stp/>
        <stp>WDOFUTV_F_0</stp>
        <stp>DAT</stp>
        <tr r="D45" s="5"/>
        <tr r="AN47" s="2"/>
      </tp>
      <tp>
        <v>-1.2591060347153682</v>
        <stp/>
        <stp>WDOFUT_F_0</stp>
        <stp>SEM</stp>
        <tr r="BM37" s="2"/>
        <tr r="AC35" s="5"/>
      </tp>
      <tp>
        <v>0.88309482090688018</v>
        <stp/>
        <stp>WINFUT_F_0</stp>
        <stp>SEM</stp>
        <tr r="BM36" s="2"/>
        <tr r="AC34" s="5"/>
      </tp>
      <tp t="s">
        <v>Pré-Fechamento</v>
        <stp/>
        <stp>MRVE3_B_0</stp>
        <stp>EST</stp>
        <tr r="BX18" s="2"/>
        <tr r="AN16" s="5"/>
      </tp>
      <tp>
        <v>61115237</v>
        <stp/>
        <stp>BEEF3_B_0</stp>
        <stp>VPJ</stp>
        <tr r="AB65" s="5"/>
        <tr r="BL67" s="2"/>
      </tp>
      <tp>
        <v>1.6020236087689668</v>
        <stp/>
        <stp>ABEV3_B_0</stp>
        <stp>VAR</stp>
        <tr r="AV20" s="2"/>
        <tr r="L18" s="5"/>
      </tp>
      <tp t="s">
        <v>31/12/9999</v>
        <stp/>
        <stp>ABEV3_B_0</stp>
        <stp>VAL</stp>
        <tr r="BV20" s="2"/>
        <tr r="AL18" s="5"/>
      </tp>
      <tp>
        <v>0</v>
        <stp/>
        <stp>SLCE3_B_0</stp>
        <stp>PRT</stp>
        <tr r="L73" s="2"/>
        <tr r="BJ79" s="2"/>
        <tr r="Z77" s="5"/>
      </tp>
      <tp t="s">
        <v>-</v>
        <stp/>
        <stp>RANI3_B_0</stp>
        <stp>IMPVT</stp>
        <tr r="BZ85" s="2"/>
        <tr r="AP83" s="5"/>
        <tr r="BZ92" s="2"/>
        <tr r="BZ91" s="2"/>
        <tr r="BZ90" s="2"/>
        <tr r="BZ88" s="2"/>
        <tr r="BZ89" s="2"/>
        <tr r="BZ87" s="2"/>
        <tr r="BZ86" s="2"/>
      </tp>
      <tp t="s">
        <v>-</v>
        <stp/>
        <stp>RAIL3_B_0</stp>
        <stp>IMPVT</stp>
        <tr r="BZ60" s="2"/>
        <tr r="AP58" s="5"/>
      </tp>
      <tp>
        <v>11.57</v>
        <stp/>
        <stp>YDUQ3_B_0</stp>
        <stp>FEC</stp>
        <tr r="J87" s="2"/>
      </tp>
      <tp t="s">
        <v>-</v>
        <stp/>
        <stp>TTEN3_B_0</stp>
        <stp>GAMA</stp>
        <tr r="CB84" s="2"/>
        <tr r="AR82" s="5"/>
      </tp>
      <tp>
        <v>0</v>
        <stp/>
        <stp>RAPT4_B_0</stp>
        <stp>CAB</stp>
        <tr r="BW76" s="2"/>
        <tr r="AM74" s="5"/>
      </tp>
      <tp t="s">
        <v>-</v>
        <stp/>
        <stp>RCSL3_B_0</stp>
        <stp>IMPVT</stp>
        <tr r="BZ65" s="2"/>
        <tr r="AP63" s="5"/>
      </tp>
      <tp t="s">
        <v>-</v>
        <stp/>
        <stp>GFSA3_B_0</stp>
        <stp>THETA</stp>
        <tr r="CC22" s="2"/>
        <tr r="AS20" s="5"/>
      </tp>
      <tp t="s">
        <v>-</v>
        <stp/>
        <stp>ABEV3_B_0</stp>
        <stp>VEN</stp>
        <tr r="BU20" s="2"/>
        <tr r="AK18" s="5"/>
      </tp>
      <tp t="s">
        <v>-</v>
        <stp/>
        <stp>RENT3_B_0</stp>
        <stp>IMPVT</stp>
        <tr r="BZ24" s="2"/>
        <tr r="AP22" s="5"/>
      </tp>
      <tp>
        <v>0</v>
        <stp/>
        <stp>CVCB3_B_0</stp>
        <stp>PRT</stp>
        <tr r="L29" s="2"/>
      </tp>
      <tp t="s">
        <v>-</v>
        <stp/>
        <stp>CSAN3_B_0</stp>
        <stp>BLACK</stp>
        <tr r="BY62" s="2"/>
        <tr r="AO60" s="5"/>
      </tp>
      <tp t="s">
        <v>-</v>
        <stp/>
        <stp>CSNA3_B_0</stp>
        <stp>BLACK</stp>
        <tr r="BY10" s="2"/>
        <tr r="AO8" s="5"/>
      </tp>
      <tp t="s">
        <v>-</v>
        <stp/>
        <stp>CRFB3_B_0</stp>
        <stp>BLACK</stp>
        <tr r="BY63" s="2"/>
        <tr r="AO61" s="5"/>
      </tp>
      <tp>
        <v>15419501</v>
        <stp/>
        <stp>TTEN3_B_0</stp>
        <stp>VPJ</stp>
        <tr r="BL84" s="2"/>
        <tr r="AB82" s="5"/>
      </tp>
      <tp>
        <v>193323776</v>
        <stp/>
        <stp>LREN3_B_0</stp>
        <stp>VPJ</stp>
        <tr r="BL34" s="2"/>
        <tr r="AB32" s="5"/>
      </tp>
      <tp>
        <v>17.95</v>
        <stp/>
        <stp>BRFS3_B_0</stp>
        <stp>ULT</stp>
        <tr r="F31" s="5"/>
        <tr r="AP33" s="2"/>
      </tp>
      <tp t="s">
        <v>-</v>
        <stp/>
        <stp>ABEV3_B_0</stp>
        <stp>VIB</stp>
        <tr r="AW18" s="5"/>
        <tr r="CG20" s="2"/>
      </tp>
      <tp t="s">
        <v>-</v>
        <stp/>
        <stp>ABEV3_B_0</stp>
        <stp>VIA</stp>
        <tr r="CF20" s="2"/>
        <tr r="AV18" s="5"/>
      </tp>
      <tp>
        <v>0</v>
        <stp/>
        <stp>CIEL3_B_0</stp>
        <stp>VPJ</stp>
        <tr r="BL8" s="2"/>
        <tr r="AB6" s="5"/>
      </tp>
      <tp t="s">
        <v>-</v>
        <stp/>
        <stp>GMAT3_B_0</stp>
        <stp>RHO</stp>
        <tr r="CD59" s="2"/>
        <tr r="AT57" s="5"/>
      </tp>
      <tp>
        <v>0</v>
        <stp/>
        <stp>IFIX_B_0</stp>
        <stp>QTE</stp>
        <tr r="AA46" s="5"/>
        <tr r="BK48" s="2"/>
      </tp>
      <tp>
        <v>11917927</v>
        <stp/>
        <stp>IFIX_B_0</stp>
        <stp>QTT</stp>
        <tr r="R46" s="5"/>
        <tr r="BB48" s="2"/>
      </tp>
      <tp>
        <v>0</v>
        <stp/>
        <stp>DXCO3_B_0</stp>
        <stp>PRT</stp>
        <tr r="BJ75" s="2"/>
        <tr r="Z73" s="5"/>
      </tp>
      <tp t="s">
        <v>-</v>
        <stp/>
        <stp>GOAU4_B_0</stp>
        <stp>RHO</stp>
        <tr r="CD19" s="2"/>
        <tr r="AT17" s="5"/>
      </tp>
      <tp>
        <v>0</v>
        <stp/>
        <stp>IFIX_B_0</stp>
        <stp>QUL</stp>
        <tr r="Q46" s="5"/>
        <tr r="BA48" s="2"/>
      </tp>
      <tp t="s">
        <v>-</v>
        <stp/>
        <stp>PCAR3_B_0</stp>
        <stp>RHO</stp>
        <tr r="AT68" s="5"/>
        <tr r="CD70" s="2"/>
      </tp>
      <tp t="s">
        <v>-</v>
        <stp/>
        <stp>CYRE3_B_0</stp>
        <stp>BLACK</stp>
        <tr r="BY28" s="2"/>
        <tr r="AO26" s="5"/>
      </tp>
      <tp t="s">
        <v>-</v>
        <stp/>
        <stp>BBAS3_B_0</stp>
        <stp>RHO</stp>
        <tr r="CD14" s="2"/>
        <tr r="AT12" s="5"/>
      </tp>
      <tp>
        <v>0</v>
        <stp/>
        <stp>TUPY3_B_0</stp>
        <stp>CAB</stp>
        <tr r="BW81" s="2"/>
        <tr r="AM79" s="5"/>
      </tp>
      <tp t="s">
        <v>-</v>
        <stp/>
        <stp>BRAP4_B_0</stp>
        <stp>RHO</stp>
        <tr r="CD30" s="2"/>
        <tr r="AT28" s="5"/>
      </tp>
      <tp>
        <v>24.66</v>
        <stp/>
        <stp>SMFT3_B_0</stp>
        <stp>ULT</stp>
        <tr r="K74" s="2"/>
      </tp>
      <tp>
        <v>900</v>
        <stp/>
        <stp>ABEV3_B_0</stp>
        <stp>VOV</stp>
        <tr r="BG20" s="2"/>
        <tr r="W18" s="5"/>
      </tp>
      <tp>
        <v>349084617</v>
        <stp/>
        <stp>ABEV3_B_0</stp>
        <stp>VOL</stp>
        <tr r="BC20" s="2"/>
        <tr r="S18" s="5"/>
      </tp>
      <tp>
        <v>2000</v>
        <stp/>
        <stp>ABEV3_B_0</stp>
        <stp>VOC</stp>
        <tr r="BF20" s="2"/>
        <tr r="V18" s="5"/>
      </tp>
      <tp t="s">
        <v>-</v>
        <stp/>
        <stp>BEEF3_B_0</stp>
        <stp>VIVH</stp>
        <tr r="AY65" s="5"/>
        <tr r="CI67" s="2"/>
      </tp>
      <tp t="s">
        <v>-</v>
        <stp/>
        <stp>GMAT3_B_0</stp>
        <stp>THETA</stp>
        <tr r="AS57" s="5"/>
        <tr r="CC59" s="2"/>
      </tp>
      <tp>
        <v>8897500</v>
        <stp/>
        <stp>EMBR3_B_0</stp>
        <stp>QTT</stp>
        <tr r="BB26" s="2"/>
        <tr r="R24" s="5"/>
      </tp>
      <tp>
        <v>10038700</v>
        <stp/>
        <stp>GGBR4_B_0</stp>
        <stp>QTT</stp>
        <tr r="BB13" s="2"/>
        <tr r="R11" s="5"/>
      </tp>
      <tp>
        <v>349084617</v>
        <stp/>
        <stp>ABEV3_B_0</stp>
        <stp>VPJ</stp>
        <tr r="BL20" s="2"/>
        <tr r="AB18" s="5"/>
      </tp>
      <tp t="s">
        <v>-</v>
        <stp/>
        <stp>CSAN3_B_0</stp>
        <stp>RHO</stp>
        <tr r="CD62" s="2"/>
        <tr r="AT60" s="5"/>
      </tp>
      <tp>
        <v>0</v>
        <stp/>
        <stp>EMBR3_B_0</stp>
        <stp>QTE</stp>
        <tr r="BK26" s="2"/>
        <tr r="AA24" s="5"/>
      </tp>
      <tp>
        <v>0</v>
        <stp/>
        <stp>GGBR4_B_0</stp>
        <stp>QTE</stp>
        <tr r="BK13" s="2"/>
        <tr r="AA11" s="5"/>
      </tp>
      <tp>
        <v>2.4767801857585163</v>
        <stp/>
        <stp>BEEF3_B_0</stp>
        <stp>VAR</stp>
        <tr r="L65" s="5"/>
        <tr r="AV67" s="2"/>
      </tp>
      <tp t="s">
        <v>-</v>
        <stp/>
        <stp>TTEN3_B_0</stp>
        <stp>VIB</stp>
        <tr r="CG84" s="2"/>
        <tr r="AW82" s="5"/>
      </tp>
      <tp t="s">
        <v>-</v>
        <stp/>
        <stp>TTEN3_B_0</stp>
        <stp>VIA</stp>
        <tr r="CF84" s="2"/>
        <tr r="AV82" s="5"/>
      </tp>
      <tp>
        <v>0</v>
        <stp/>
        <stp>EMBR3_B_0</stp>
        <stp>QUL</stp>
        <tr r="BA26" s="2"/>
        <tr r="Q24" s="5"/>
      </tp>
      <tp t="s">
        <v>-</v>
        <stp/>
        <stp>LREN3_B_0</stp>
        <stp>VIB</stp>
        <tr r="CG34" s="2"/>
        <tr r="AW32" s="5"/>
      </tp>
      <tp t="s">
        <v>31/12/9999</v>
        <stp/>
        <stp>BEEF3_B_0</stp>
        <stp>VAL</stp>
        <tr r="AL65" s="5"/>
        <tr r="BV67" s="2"/>
      </tp>
      <tp t="s">
        <v>-</v>
        <stp/>
        <stp>LREN3_B_0</stp>
        <stp>VIA</stp>
        <tr r="CF34" s="2"/>
        <tr r="AV32" s="5"/>
      </tp>
      <tp>
        <v>37.29</v>
        <stp/>
        <stp>ITUB4_B_0</stp>
        <stp>FEC</stp>
        <tr r="J48" s="2"/>
        <tr r="AT32" s="2"/>
        <tr r="J30" s="5"/>
      </tp>
      <tp>
        <v>0</v>
        <stp/>
        <stp>GGBR4_B_0</stp>
        <stp>QUL</stp>
        <tr r="BA13" s="2"/>
        <tr r="Q11" s="5"/>
      </tp>
      <tp t="s">
        <v>Pré-Fechamento</v>
        <stp/>
        <stp>VIVT3_B_0</stp>
        <stp>EST</stp>
        <tr r="BX9" s="2"/>
        <tr r="AN7" s="5"/>
      </tp>
      <tp>
        <v>28.96</v>
        <stp/>
        <stp>CYRE3_B_0</stp>
        <stp>ABE</stp>
        <tr r="G26" s="5"/>
        <tr r="AQ28" s="2"/>
      </tp>
      <tp>
        <v>0</v>
        <stp/>
        <stp>RECV3_B_0</stp>
        <stp>PRT</stp>
        <tr r="L63" s="2"/>
      </tp>
      <tp>
        <v>-1.2502248605864363</v>
        <stp/>
        <stp>DOLFUT_F_0</stp>
        <stp>SEM</stp>
        <tr r="BM15" s="2"/>
        <tr r="AC13" s="5"/>
      </tp>
      <tp>
        <v>0</v>
        <stp/>
        <stp>AGRO3_B_0</stp>
        <stp>AJU</stp>
        <tr r="BH71" s="2"/>
        <tr r="X69" s="5"/>
      </tp>
      <tp t="s">
        <v>-</v>
        <stp/>
        <stp>CIEL3_B_0</stp>
        <stp>VIA</stp>
        <tr r="CF8" s="2"/>
        <tr r="AV6" s="5"/>
      </tp>
      <tp t="s">
        <v>-</v>
        <stp/>
        <stp>CIEL3_B_0</stp>
        <stp>VIB</stp>
        <tr r="CG8" s="2"/>
        <tr r="AW6" s="5"/>
      </tp>
      <tp>
        <v>0</v>
        <stp/>
        <stp>AGRO3_B_0</stp>
        <stp>AJA</stp>
        <tr r="BI71" s="2"/>
        <tr r="Y69" s="5"/>
      </tp>
      <tp>
        <v>141682.99000000002</v>
        <stp/>
        <stp>IBOV_B_0</stp>
        <stp>ULT</stp>
        <tr r="D1" s="2"/>
        <tr r="F4" s="5"/>
        <tr r="AP6" s="2"/>
      </tp>
      <tp t="s">
        <v>-</v>
        <stp/>
        <stp>CAML3_B_0</stp>
        <stp>BLACK</stp>
        <tr r="BY83" s="2"/>
        <tr r="AO81" s="5"/>
      </tp>
      <tp t="s">
        <v>-</v>
        <stp/>
        <stp>CSAN3_B_0</stp>
        <stp>GAMA</stp>
        <tr r="CB62" s="2"/>
        <tr r="AR60" s="5"/>
      </tp>
      <tp>
        <v>0</v>
        <stp/>
        <stp>CIEL3_B_0</stp>
        <stp>VOV</stp>
        <tr r="BG8" s="2"/>
        <tr r="W6" s="5"/>
      </tp>
      <tp>
        <v>0</v>
        <stp/>
        <stp>CIEL3_B_0</stp>
        <stp>VOL</stp>
        <tr r="BC8" s="2"/>
        <tr r="S6" s="5"/>
      </tp>
      <tp t="s">
        <v>-</v>
        <stp/>
        <stp>BEEF3_B_0</stp>
        <stp>VEN</stp>
        <tr r="AK65" s="5"/>
        <tr r="BU67" s="2"/>
      </tp>
      <tp>
        <v>0</v>
        <stp/>
        <stp>CIEL3_B_0</stp>
        <stp>VOC</stp>
        <tr r="BF8" s="2"/>
        <tr r="V6" s="5"/>
      </tp>
      <tp>
        <v>0</v>
        <stp/>
        <stp>SLCE3_B_0</stp>
        <stp>PEX</stp>
        <tr r="AU79" s="2"/>
        <tr r="K77" s="5"/>
      </tp>
      <tp t="s">
        <v>-</v>
        <stp/>
        <stp>ITUB4_B_0</stp>
        <stp>DELTA</stp>
        <tr r="CA32" s="2"/>
        <tr r="AQ30" s="5"/>
      </tp>
      <tp t="s">
        <v>-</v>
        <stp/>
        <stp>ITSA4_B_0</stp>
        <stp>DELTA</stp>
        <tr r="CA31" s="2"/>
        <tr r="AQ29" s="5"/>
      </tp>
      <tp>
        <v>600</v>
        <stp/>
        <stp>LREN3_B_0</stp>
        <stp>VOV</stp>
        <tr r="BG34" s="2"/>
        <tr r="W32" s="5"/>
      </tp>
      <tp>
        <v>15419501</v>
        <stp/>
        <stp>TTEN3_B_0</stp>
        <stp>VOL</stp>
        <tr r="BC84" s="2"/>
        <tr r="S82" s="5"/>
      </tp>
      <tp t="s">
        <v>-</v>
        <stp/>
        <stp>BEEF3_B_0</stp>
        <stp>VINT</stp>
        <tr r="AZ65" s="5"/>
        <tr r="CJ67" s="2"/>
      </tp>
      <tp>
        <v>300</v>
        <stp/>
        <stp>TTEN3_B_0</stp>
        <stp>VOC</stp>
        <tr r="BF84" s="2"/>
        <tr r="V82" s="5"/>
      </tp>
      <tp>
        <v>500</v>
        <stp/>
        <stp>LREN3_B_0</stp>
        <stp>VOC</stp>
        <tr r="BF34" s="2"/>
        <tr r="V32" s="5"/>
      </tp>
      <tp t="s">
        <v>-</v>
        <stp/>
        <stp>ASAI3_B_0</stp>
        <stp>RHO</stp>
        <tr r="CD61" s="2"/>
        <tr r="AT59" s="5"/>
      </tp>
      <tp>
        <v>-8.9511754068716112</v>
        <stp/>
        <stp>AGRO3_B_0</stp>
        <stp>ANO</stp>
        <tr r="BR71" s="2"/>
        <tr r="AH69" s="5"/>
      </tp>
      <tp>
        <v>400</v>
        <stp/>
        <stp>TTEN3_B_0</stp>
        <stp>VOV</stp>
        <tr r="BG84" s="2"/>
        <tr r="W82" s="5"/>
      </tp>
      <tp>
        <v>193323776</v>
        <stp/>
        <stp>LREN3_B_0</stp>
        <stp>VOL</stp>
        <tr r="BC34" s="2"/>
        <tr r="S32" s="5"/>
      </tp>
      <tp>
        <v>0</v>
        <stp/>
        <stp>CRFB3_B_0</stp>
        <stp>ULT</stp>
        <tr r="F61" s="5"/>
        <tr r="AP63" s="2"/>
      </tp>
      <tp t="s">
        <v>31/12/9999</v>
        <stp/>
        <stp>TTEN3_B_0</stp>
        <stp>VAL</stp>
        <tr r="BV84" s="2"/>
        <tr r="AL82" s="5"/>
      </tp>
      <tp>
        <v>1.272984441301271</v>
        <stp/>
        <stp>LREN3_B_0</stp>
        <stp>VAR</stp>
        <tr r="AV34" s="2"/>
        <tr r="L32" s="5"/>
      </tp>
      <tp>
        <v>0</v>
        <stp/>
        <stp>CYRE3_B_0</stp>
        <stp>AJU</stp>
        <tr r="BH28" s="2"/>
        <tr r="X26" s="5"/>
      </tp>
      <tp t="s">
        <v>-</v>
        <stp/>
        <stp>BEEF3_B_0</stp>
        <stp>VIA</stp>
        <tr r="AV65" s="5"/>
        <tr r="CF67" s="2"/>
      </tp>
      <tp>
        <v>0</v>
        <stp/>
        <stp>CYRE3_B_0</stp>
        <stp>AJA</stp>
        <tr r="Y26" s="5"/>
        <tr r="BI28" s="2"/>
      </tp>
      <tp t="s">
        <v>31/12/9999</v>
        <stp/>
        <stp>LREN3_B_0</stp>
        <stp>VAL</stp>
        <tr r="BV34" s="2"/>
        <tr r="AL32" s="5"/>
      </tp>
      <tp t="s">
        <v>-</v>
        <stp/>
        <stp>BEEF3_B_0</stp>
        <stp>VIB</stp>
        <tr r="AW65" s="5"/>
        <tr r="CG67" s="2"/>
      </tp>
      <tp>
        <v>0.51169590643273755</v>
        <stp/>
        <stp>TTEN3_B_0</stp>
        <stp>VAR</stp>
        <tr r="AV84" s="2"/>
        <tr r="L82" s="5"/>
      </tp>
      <tp t="s">
        <v>-</v>
        <stp/>
        <stp>LREN3_B_0</stp>
        <stp>GAMA</stp>
        <tr r="CB34" s="2"/>
        <tr r="AR32" s="5"/>
      </tp>
      <tp>
        <v>0</v>
        <stp/>
        <stp>CIEL3_B_0</stp>
        <stp>VAR</stp>
        <tr r="AV8" s="2"/>
        <tr r="L6" s="5"/>
      </tp>
      <tp>
        <v>0</v>
        <stp/>
        <stp>KEPL3_B_0</stp>
        <stp>CAB</stp>
        <tr r="BW73" s="2"/>
        <tr r="AM71" s="5"/>
      </tp>
      <tp t="s">
        <v>31/12/9999</v>
        <stp/>
        <stp>CIEL3_B_0</stp>
        <stp>VAL</stp>
        <tr r="BV8" s="2"/>
        <tr r="AL6" s="5"/>
      </tp>
      <tp>
        <v>20.11</v>
        <stp/>
        <stp>AGRO3_B_0</stp>
        <stp>ABE</stp>
        <tr r="G69" s="5"/>
        <tr r="AQ71" s="2"/>
      </tp>
      <tp>
        <v>0</v>
        <stp/>
        <stp>DXCO3_B_0</stp>
        <stp>PEX</stp>
        <tr r="AU75" s="2"/>
        <tr r="K73" s="5"/>
      </tp>
      <tp t="s">
        <v>-</v>
        <stp/>
        <stp>CIEL3_B_0</stp>
        <stp>BLACK</stp>
        <tr r="BY8" s="2"/>
        <tr r="AO6" s="5"/>
      </tp>
      <tp t="s">
        <v>-</v>
        <stp/>
        <stp>TTEN3_B_0</stp>
        <stp>VEN</stp>
        <tr r="BU84" s="2"/>
        <tr r="AK82" s="5"/>
      </tp>
      <tp>
        <v>21.12</v>
        <stp/>
        <stp>MRFG3_B_0</stp>
        <stp>ULT</stp>
        <tr r="F66" s="5"/>
        <tr r="AP68" s="2"/>
      </tp>
      <tp>
        <v>77.460868708513431</v>
        <stp/>
        <stp>CYRE3_B_0</stp>
        <stp>ANO</stp>
        <tr r="BR28" s="2"/>
        <tr r="AH26" s="5"/>
      </tp>
      <tp t="s">
        <v>-</v>
        <stp/>
        <stp>LREN3_B_0</stp>
        <stp>VEN</stp>
        <tr r="BU34" s="2"/>
        <tr r="AK32" s="5"/>
      </tp>
      <tp>
        <v>0.99566627135498287</v>
        <stp/>
        <stp>INDFUT_F_0</stp>
        <stp>SEM</stp>
        <tr r="BM17" s="2"/>
        <tr r="AC15" s="5"/>
      </tp>
      <tp>
        <v>38.81</v>
        <stp/>
        <stp>CPFE3_B_0</stp>
        <stp>ULT</stp>
        <tr r="K26" s="2"/>
      </tp>
      <tp>
        <v>900</v>
        <stp/>
        <stp>BEEF3_B_0</stp>
        <stp>VOV</stp>
        <tr r="W65" s="5"/>
        <tr r="BG67" s="2"/>
      </tp>
      <tp>
        <v>61115237</v>
        <stp/>
        <stp>BEEF3_B_0</stp>
        <stp>VOL</stp>
        <tr r="S65" s="5"/>
        <tr r="BC67" s="2"/>
      </tp>
      <tp t="s">
        <v>-</v>
        <stp/>
        <stp>CIEL3_B_0</stp>
        <stp>VEN</stp>
        <tr r="BU8" s="2"/>
        <tr r="AK6" s="5"/>
      </tp>
      <tp>
        <v>16200</v>
        <stp/>
        <stp>BEEF3_B_0</stp>
        <stp>VOC</stp>
        <tr r="V65" s="5"/>
        <tr r="BF67" s="2"/>
      </tp>
      <tp>
        <v>0</v>
        <stp/>
        <stp>WINZ24_F_0</stp>
        <stp>OCP</stp>
        <tr r="BD43" s="2"/>
        <tr r="T41" s="5"/>
      </tp>
      <tp>
        <v>0</v>
        <stp/>
        <stp>WINV24_F_0</stp>
        <stp>CAB</stp>
        <tr r="BW44" s="2"/>
        <tr r="AM42" s="5"/>
      </tp>
      <tp t="s">
        <v>-</v>
        <stp/>
        <stp>IBOV_B_0</stp>
        <stp>GAMA</stp>
        <tr r="CB6" s="2"/>
        <tr r="AR4" s="5"/>
      </tp>
      <tp>
        <v>0</v>
        <stp/>
        <stp>WDOV24_F_0</stp>
        <stp>CAB</stp>
        <tr r="BW57" s="2"/>
        <tr r="AM55" s="5"/>
      </tp>
      <tp>
        <v>0</v>
        <stp/>
        <stp>WDOX24_F_0</stp>
        <stp>MAX</stp>
        <tr r="AR56" s="2"/>
        <tr r="H54" s="5"/>
      </tp>
      <tp t="s">
        <v>30/12/1899</v>
        <stp/>
        <stp>WINQ24_F_0</stp>
        <stp>DAT</stp>
        <tr r="D39" s="5"/>
        <tr r="AN41" s="2"/>
      </tp>
      <tp t="s">
        <v>30/12/1899</v>
        <stp/>
        <stp>WDOQ24_F_0</stp>
        <stp>DAT</stp>
        <tr r="D52" s="5"/>
        <tr r="AN54" s="2"/>
      </tp>
      <tp>
        <v>0</v>
        <stp/>
        <stp>WDOX24_F_0</stp>
        <stp>MED</stp>
        <tr r="AX56" s="2"/>
        <tr r="N54" s="5"/>
      </tp>
      <tp>
        <v>0</v>
        <stp/>
        <stp>WDOX24_F_0</stp>
        <stp>MES</stp>
        <tr r="BN56" s="2"/>
        <tr r="AD54" s="5"/>
      </tp>
      <tp t="s">
        <v>-</v>
        <stp/>
        <stp>WDOG24_F_0</stp>
        <stp>RHO</stp>
        <tr r="CD53" s="2"/>
        <tr r="AT51" s="5"/>
      </tp>
      <tp t="s">
        <v>-</v>
        <stp/>
        <stp>WING24_F_0</stp>
        <stp>RHO</stp>
        <tr r="CD42" s="2"/>
        <tr r="AT40" s="5"/>
      </tp>
      <tp>
        <v>0</v>
        <stp/>
        <stp>WDOX24_F_0</stp>
        <stp>MIN</stp>
        <tr r="AS56" s="2"/>
        <tr r="I54" s="5"/>
      </tp>
      <tp>
        <v>0</v>
        <stp/>
        <stp>WINZ24_F_0</stp>
        <stp>OVD</stp>
        <tr r="BE43" s="2"/>
        <tr r="U41" s="5"/>
      </tp>
      <tp t="s">
        <v>Aberto</v>
        <stp/>
        <stp>WDOFUTV_F_0</stp>
        <stp>EST</stp>
        <tr r="AN45" s="5"/>
        <tr r="BX47" s="2"/>
      </tp>
      <tp t="s">
        <v>-</v>
        <stp/>
        <stp>INDFUT_F_0</stp>
        <stp>GAMA</stp>
        <tr r="CB17" s="2"/>
        <tr r="AR15" s="5"/>
      </tp>
      <tp>
        <v>0</v>
        <stp/>
        <stp>WDOFUT_F_0</stp>
        <stp>PEX</stp>
        <tr r="AU37" s="2"/>
        <tr r="K35" s="5"/>
      </tp>
      <tp>
        <v>0</v>
        <stp/>
        <stp>WINFUT_F_0</stp>
        <stp>PEX</stp>
        <tr r="AU36" s="2"/>
        <tr r="K34" s="5"/>
      </tp>
      <tp t="s">
        <v>-</v>
        <stp/>
        <stp>MRVE3_B_0</stp>
        <stp>VIVH</stp>
        <tr r="CI18" s="2"/>
        <tr r="AY16" s="5"/>
      </tp>
      <tp t="s">
        <v>-</v>
        <stp/>
        <stp>BRFS3_B_0</stp>
        <stp>VEN</stp>
        <tr r="BU33" s="2"/>
        <tr r="AK31" s="5"/>
      </tp>
      <tp>
        <v>384516702</v>
        <stp/>
        <stp>MRFG3_B_0</stp>
        <stp>VPJ</stp>
        <tr r="AB66" s="5"/>
        <tr r="BL68" s="2"/>
      </tp>
      <tp>
        <v>-25.69723699571929</v>
        <stp/>
        <stp>LREN3_B_0</stp>
        <stp>SEMES</stp>
        <tr r="BT34" s="2"/>
        <tr r="AJ32" s="5"/>
      </tp>
      <tp t="s">
        <v>-</v>
        <stp/>
        <stp>ASAI3_B_0</stp>
        <stp>VEXT</stp>
        <tr r="CK61" s="2"/>
        <tr r="BA59" s="5"/>
      </tp>
      <tp t="s">
        <v>-</v>
        <stp/>
        <stp>VALE3_B_0</stp>
        <stp>VINT</stp>
        <tr r="CJ12" s="2"/>
        <tr r="AZ10" s="5"/>
      </tp>
      <tp>
        <v>0</v>
        <stp/>
        <stp>DOLFUT_F_0</stp>
        <stp>PRT</stp>
        <tr r="BJ15" s="2"/>
        <tr r="Z13" s="5"/>
      </tp>
      <tp>
        <v>0</v>
        <stp/>
        <stp>BRFS3_B_0</stp>
        <stp>VAR</stp>
        <tr r="AV33" s="2"/>
        <tr r="L31" s="5"/>
      </tp>
      <tp>
        <v>0</v>
        <stp/>
        <stp>CRFB3_B_0</stp>
        <stp>VPJ</stp>
        <tr r="AB61" s="5"/>
        <tr r="BL63" s="2"/>
      </tp>
      <tp>
        <v>0</v>
        <stp/>
        <stp>JBSS3_B_0</stp>
        <stp>CAB</stp>
        <tr r="BW64" s="2"/>
        <tr r="AM62" s="5"/>
      </tp>
      <tp t="s">
        <v>31/12/9999</v>
        <stp/>
        <stp>BRFS3_B_0</stp>
        <stp>VAL</stp>
        <tr r="AL31" s="5"/>
        <tr r="BV33" s="2"/>
      </tp>
      <tp t="s">
        <v>-</v>
        <stp/>
        <stp>USIM5_B_0</stp>
        <stp>GAMA</stp>
        <tr r="CB29" s="2"/>
        <tr r="AR27" s="5"/>
      </tp>
      <tp t="s">
        <v>14/10/2025</v>
        <stp/>
        <stp>PETR4_B_0</stp>
        <stp>DAT</stp>
        <tr r="D9" s="5"/>
        <tr r="AN11" s="2"/>
      </tp>
      <tp t="s">
        <v>-</v>
        <stp/>
        <stp>MGLU3_B_0</stp>
        <stp>DELTA</stp>
        <tr r="CA35" s="2"/>
        <tr r="AQ33" s="5"/>
      </tp>
      <tp t="s">
        <v>-</v>
        <stp/>
        <stp>SLCE3_B_0</stp>
        <stp>VINT</stp>
        <tr r="CJ79" s="2"/>
        <tr r="AZ77" s="5"/>
      </tp>
      <tp t="s">
        <v>-</v>
        <stp/>
        <stp>MDIA3_B_0</stp>
        <stp>DELTA</stp>
        <tr r="CA78" s="2"/>
        <tr r="AQ76" s="5"/>
      </tp>
      <tp t="s">
        <v>Pré-Fechamento</v>
        <stp/>
        <stp>ITUB4_B_0</stp>
        <stp>EST</stp>
        <tr r="BX32" s="2"/>
        <tr r="AN30" s="5"/>
      </tp>
      <tp>
        <v>32.270000000000003</v>
        <stp/>
        <stp>VIVT3_B_0</stp>
        <stp>FEC</stp>
        <tr r="J77" s="2"/>
        <tr r="AT9" s="2"/>
        <tr r="J7" s="5"/>
      </tp>
      <tp>
        <v>14402550000</v>
        <stp/>
        <stp>IBOV_B_0</stp>
        <stp>VPJ</stp>
        <tr r="BL6" s="2"/>
        <tr r="AB4" s="5"/>
      </tp>
      <tp>
        <v>0</v>
        <stp/>
        <stp>INDFUT_F_0</stp>
        <stp>PRT</stp>
        <tr r="BJ17" s="2"/>
        <tr r="Z15" s="5"/>
      </tp>
      <tp>
        <v>0</v>
        <stp/>
        <stp>BRFS3_B_0</stp>
        <stp>VOV</stp>
        <tr r="W31" s="5"/>
        <tr r="BG33" s="2"/>
      </tp>
      <tp>
        <v>375725865</v>
        <stp/>
        <stp>BRFS3_B_0</stp>
        <stp>VOL</stp>
        <tr r="BC33" s="2"/>
        <tr r="S31" s="5"/>
      </tp>
      <tp>
        <v>0</v>
        <stp/>
        <stp>ASAI3_B_0</stp>
        <stp>QUL</stp>
        <tr r="BA61" s="2"/>
        <tr r="Q59" s="5"/>
      </tp>
      <tp>
        <v>0</v>
        <stp/>
        <stp>BRFS3_B_0</stp>
        <stp>VOC</stp>
        <tr r="BF33" s="2"/>
        <tr r="V31" s="5"/>
      </tp>
      <tp>
        <v>16107600</v>
        <stp/>
        <stp>ASAI3_B_0</stp>
        <stp>QTT</stp>
        <tr r="BB61" s="2"/>
        <tr r="R59" s="5"/>
      </tp>
      <tp>
        <v>0</v>
        <stp/>
        <stp>ASAI3_B_0</stp>
        <stp>QTE</stp>
        <tr r="BK61" s="2"/>
        <tr r="AA59" s="5"/>
      </tp>
      <tp>
        <v>16.310000000000002</v>
        <stp/>
        <stp>ENEV3_B_0</stp>
        <stp>ULT</stp>
        <tr r="K36" s="2"/>
      </tp>
      <tp>
        <v>11491600</v>
        <stp/>
        <stp>CSAN3_B_0</stp>
        <stp>QTT</stp>
        <tr r="BB62" s="2"/>
        <tr r="R60" s="5"/>
      </tp>
      <tp>
        <v>12.05</v>
        <stp/>
        <stp>ABEV3_B_0</stp>
        <stp>ULT</stp>
        <tr r="K7" s="2"/>
        <tr r="AP20" s="2"/>
        <tr r="F18" s="5"/>
      </tp>
      <tp t="s">
        <v>-</v>
        <stp/>
        <stp>EMBR3_B_0</stp>
        <stp>RHO</stp>
        <tr r="CD26" s="2"/>
        <tr r="AT24" s="5"/>
      </tp>
      <tp t="s">
        <v>-</v>
        <stp/>
        <stp>GGBR4_B_0</stp>
        <stp>RHO</stp>
        <tr r="CD13" s="2"/>
        <tr r="AT11" s="5"/>
      </tp>
      <tp t="s">
        <v>-</v>
        <stp/>
        <stp>BRFS3_B_0</stp>
        <stp>VIA</stp>
        <tr r="CF33" s="2"/>
        <tr r="AV31" s="5"/>
      </tp>
      <tp t="s">
        <v>-</v>
        <stp/>
        <stp>BRFS3_B_0</stp>
        <stp>VIB</stp>
        <tr r="CG33" s="2"/>
        <tr r="AW31" s="5"/>
      </tp>
      <tp>
        <v>0</v>
        <stp/>
        <stp>CSAN3_B_0</stp>
        <stp>QTE</stp>
        <tr r="BK62" s="2"/>
        <tr r="AA60" s="5"/>
      </tp>
      <tp>
        <v>0</v>
        <stp/>
        <stp>CSAN3_B_0</stp>
        <stp>QUL</stp>
        <tr r="BA62" s="2"/>
        <tr r="Q60" s="5"/>
      </tp>
      <tp t="s">
        <v>-</v>
        <stp/>
        <stp>CYRE3_B_0</stp>
        <stp>VIVH</stp>
        <tr r="CI28" s="2"/>
        <tr r="AY26" s="5"/>
      </tp>
      <tp>
        <v>51.84</v>
        <stp/>
        <stp>ELET3_B_0</stp>
        <stp>ULT</stp>
        <tr r="K32" s="2"/>
      </tp>
      <tp>
        <v>54.550000000000004</v>
        <stp/>
        <stp>ELET6_B_0</stp>
        <stp>ULT</stp>
        <tr r="K33" s="2"/>
      </tp>
      <tp t="s">
        <v>-</v>
        <stp/>
        <stp>RANI3_B_0</stp>
        <stp>VEGA</stp>
        <tr r="CE85" s="2"/>
        <tr r="AU83" s="5"/>
        <tr r="CE92" s="2"/>
        <tr r="CE91" s="2"/>
        <tr r="CE89" s="2"/>
        <tr r="CE88" s="2"/>
        <tr r="CE90" s="2"/>
        <tr r="CE87" s="2"/>
        <tr r="CE86" s="2"/>
      </tp>
      <tp t="s">
        <v>-</v>
        <stp/>
        <stp>CMIG4_B_0</stp>
        <stp>THETA</stp>
        <tr r="CC23" s="2"/>
        <tr r="AS21" s="5"/>
      </tp>
      <tp>
        <v>0</v>
        <stp/>
        <stp>MRFG3_B_0</stp>
        <stp>VAR</stp>
        <tr r="L66" s="5"/>
        <tr r="AV68" s="2"/>
      </tp>
      <tp>
        <v>0</v>
        <stp/>
        <stp>PCAR3_B_0</stp>
        <stp>QTE</stp>
        <tr r="BK70" s="2"/>
        <tr r="AA68" s="5"/>
      </tp>
      <tp>
        <v>0</v>
        <stp/>
        <stp>BBAS3_B_0</stp>
        <stp>QUL</stp>
        <tr r="BA14" s="2"/>
        <tr r="Q12" s="5"/>
      </tp>
      <tp t="s">
        <v>31/12/9999</v>
        <stp/>
        <stp>MRFG3_B_0</stp>
        <stp>VAL</stp>
        <tr r="BV68" s="2"/>
        <tr r="AL66" s="5"/>
      </tp>
      <tp>
        <v>19057700</v>
        <stp/>
        <stp>PCAR3_B_0</stp>
        <stp>QTT</stp>
        <tr r="BB70" s="2"/>
        <tr r="R68" s="5"/>
      </tp>
      <tp t="s">
        <v>-</v>
        <stp/>
        <stp>MRFG3_B_0</stp>
        <stp>DELTA</stp>
        <tr r="AQ66" s="5"/>
        <tr r="CA68" s="2"/>
      </tp>
      <tp t="s">
        <v>-</v>
        <stp/>
        <stp>MRVE3_B_0</stp>
        <stp>DELTA</stp>
        <tr r="CA18" s="2"/>
        <tr r="AQ16" s="5"/>
      </tp>
      <tp t="s">
        <v>-</v>
        <stp/>
        <stp>RANI3_B_0</stp>
        <stp>VEXT</stp>
        <tr r="CK85" s="2"/>
        <tr r="BA83" s="5"/>
        <tr r="CK92" s="2"/>
        <tr r="CK91" s="2"/>
        <tr r="CK90" s="2"/>
        <tr r="CK89" s="2"/>
        <tr r="CK88" s="2"/>
        <tr r="CK87" s="2"/>
        <tr r="CK86" s="2"/>
      </tp>
      <tp>
        <v>0</v>
        <stp/>
        <stp>PCAR3_B_0</stp>
        <stp>QUL</stp>
        <tr r="Q68" s="5"/>
        <tr r="BA70" s="2"/>
      </tp>
      <tp>
        <v>19882400</v>
        <stp/>
        <stp>BBAS3_B_0</stp>
        <stp>QTT</stp>
        <tr r="BB14" s="2"/>
        <tr r="R12" s="5"/>
      </tp>
      <tp t="s">
        <v>-</v>
        <stp/>
        <stp>CRFB3_B_0</stp>
        <stp>VEN</stp>
        <tr r="BU63" s="2"/>
        <tr r="AK61" s="5"/>
      </tp>
      <tp>
        <v>0</v>
        <stp/>
        <stp>BBAS3_B_0</stp>
        <stp>QTE</stp>
        <tr r="BK14" s="2"/>
        <tr r="AA12" s="5"/>
      </tp>
      <tp t="s">
        <v>-</v>
        <stp/>
        <stp>IBOV_B_0</stp>
        <stp>VIB</stp>
        <tr r="CG6" s="2"/>
        <tr r="AW4" s="5"/>
      </tp>
      <tp t="s">
        <v>-</v>
        <stp/>
        <stp>IBOV_B_0</stp>
        <stp>VIA</stp>
        <tr r="CF6" s="2"/>
        <tr r="AV4" s="5"/>
      </tp>
      <tp>
        <v>1014000</v>
        <stp/>
        <stp>BRAP4_B_0</stp>
        <stp>QTT</stp>
        <tr r="BB30" s="2"/>
        <tr r="R28" s="5"/>
      </tp>
      <tp>
        <v>27</v>
        <stp/>
        <stp>VIVA3_B_0</stp>
        <stp>FEC</stp>
        <tr r="J85" s="2"/>
      </tp>
      <tp>
        <v>0</v>
        <stp/>
        <stp>BRAP4_B_0</stp>
        <stp>QTE</stp>
        <tr r="BK30" s="2"/>
        <tr r="AA28" s="5"/>
      </tp>
      <tp t="s">
        <v>-</v>
        <stp/>
        <stp>GGBR4_B_0</stp>
        <stp>BLACK</stp>
        <tr r="BY13" s="2"/>
        <tr r="AO11" s="5"/>
      </tp>
      <tp>
        <v>0</v>
        <stp/>
        <stp>DOLFUT_F_0</stp>
        <stp>PEX</stp>
        <tr r="AU15" s="2"/>
        <tr r="K13" s="5"/>
      </tp>
      <tp>
        <v>0</v>
        <stp/>
        <stp>BRAP4_B_0</stp>
        <stp>QUL</stp>
        <tr r="BA30" s="2"/>
        <tr r="Q28" s="5"/>
      </tp>
      <tp>
        <v>14.32</v>
        <stp/>
        <stp>LREN3_B_0</stp>
        <stp>ULT</stp>
        <tr r="K51" s="2"/>
        <tr r="F32" s="5"/>
        <tr r="AP34" s="2"/>
      </tp>
      <tp t="s">
        <v>-</v>
        <stp/>
        <stp>MRFG3_B_0</stp>
        <stp>VEN</stp>
        <tr r="AK66" s="5"/>
        <tr r="BU68" s="2"/>
      </tp>
      <tp>
        <v>13.75</v>
        <stp/>
        <stp>TTEN3_B_0</stp>
        <stp>ULT</stp>
        <tr r="F82" s="5"/>
        <tr r="AP84" s="2"/>
      </tp>
      <tp>
        <v>0</v>
        <stp/>
        <stp>CRFB3_B_0</stp>
        <stp>VAR</stp>
        <tr r="AV63" s="2"/>
        <tr r="L61" s="5"/>
      </tp>
      <tp>
        <v>375725865</v>
        <stp/>
        <stp>BRFS3_B_0</stp>
        <stp>VPJ</stp>
        <tr r="BL33" s="2"/>
        <tr r="AB31" s="5"/>
      </tp>
      <tp t="s">
        <v>31/12/9999</v>
        <stp/>
        <stp>CRFB3_B_0</stp>
        <stp>VAL</stp>
        <tr r="AL61" s="5"/>
        <tr r="BV63" s="2"/>
      </tp>
      <tp>
        <v>-0.696202531645566</v>
        <stp/>
        <stp>SLCE3_B_0</stp>
        <stp>SEM</stp>
        <tr r="BM79" s="2"/>
        <tr r="AC77" s="5"/>
      </tp>
      <tp>
        <v>6193400</v>
        <stp/>
        <stp>GMAT3_B_0</stp>
        <stp>QTT</stp>
        <tr r="BB59" s="2"/>
        <tr r="R57" s="5"/>
      </tp>
      <tp>
        <v>0</v>
        <stp/>
        <stp>CIEL3_B_0</stp>
        <stp>ULT</stp>
        <tr r="F6" s="5"/>
        <tr r="AP8" s="2"/>
      </tp>
      <tp>
        <v>0</v>
        <stp/>
        <stp>HBSA3_B_0</stp>
        <stp>CAB</stp>
        <tr r="BW58" s="2"/>
        <tr r="AM56" s="5"/>
      </tp>
      <tp>
        <v>6.2200000000000006</v>
        <stp/>
        <stp>MRVE3_B_0</stp>
        <stp>FEC</stp>
        <tr r="J57" s="2"/>
        <tr r="AT18" s="2"/>
        <tr r="J16" s="5"/>
      </tp>
      <tp>
        <v>0</v>
        <stp/>
        <stp>ITSA4_B_0</stp>
        <stp>CAB</stp>
        <tr r="BW31" s="2"/>
        <tr r="AM29" s="5"/>
      </tp>
      <tp>
        <v>0</v>
        <stp/>
        <stp>GOAU4_B_0</stp>
        <stp>QUL</stp>
        <tr r="BA19" s="2"/>
        <tr r="Q17" s="5"/>
      </tp>
      <tp>
        <v>0</v>
        <stp/>
        <stp>GMAT3_B_0</stp>
        <stp>QTE</stp>
        <tr r="BK59" s="2"/>
        <tr r="AA57" s="5"/>
      </tp>
      <tp t="s">
        <v>-</v>
        <stp/>
        <stp>CYRE3_B_0</stp>
        <stp>VINT</stp>
        <tr r="CJ28" s="2"/>
        <tr r="AZ26" s="5"/>
      </tp>
      <tp>
        <v>0</v>
        <stp/>
        <stp>B3SA3_B_0</stp>
        <stp>CAB</stp>
        <tr r="BW21" s="2"/>
        <tr r="AM19" s="5"/>
      </tp>
      <tp>
        <v>0</v>
        <stp/>
        <stp>GFSA3_B_0</stp>
        <stp>CAB</stp>
        <tr r="BW22" s="2"/>
        <tr r="AM20" s="5"/>
      </tp>
      <tp t="s">
        <v>-</v>
        <stp/>
        <stp>IFIX_B_0</stp>
        <stp>RHO</stp>
        <tr r="AT46" s="5"/>
        <tr r="CD48" s="2"/>
      </tp>
      <tp>
        <v>0</v>
        <stp/>
        <stp>WINFUT_F_0</stp>
        <stp>PRT</stp>
        <tr r="BJ36" s="2"/>
        <tr r="Z34" s="5"/>
      </tp>
      <tp>
        <v>0</v>
        <stp/>
        <stp>WDOFUT_F_0</stp>
        <stp>PRT</stp>
        <tr r="BJ37" s="2"/>
        <tr r="Z35" s="5"/>
      </tp>
      <tp>
        <v>5162800</v>
        <stp/>
        <stp>GOAU4_B_0</stp>
        <stp>QTT</stp>
        <tr r="BB19" s="2"/>
        <tr r="R17" s="5"/>
      </tp>
      <tp>
        <v>0</v>
        <stp/>
        <stp>GMAT3_B_0</stp>
        <stp>QUL</stp>
        <tr r="BA59" s="2"/>
        <tr r="Q57" s="5"/>
      </tp>
      <tp>
        <v>0</v>
        <stp/>
        <stp>GOAU4_B_0</stp>
        <stp>QTE</stp>
        <tr r="BK19" s="2"/>
        <tr r="AA17" s="5"/>
      </tp>
      <tp>
        <v>14402550000</v>
        <stp/>
        <stp>IBOV_B_0</stp>
        <stp>VOL</stp>
        <tr r="BC6" s="2"/>
        <tr r="S4" s="5"/>
      </tp>
      <tp>
        <v>0</v>
        <stp/>
        <stp>IBOV_B_0</stp>
        <stp>VOC</stp>
        <tr r="BF6" s="2"/>
        <tr r="V4" s="5"/>
      </tp>
      <tp>
        <v>0</v>
        <stp/>
        <stp>IBOV_B_0</stp>
        <stp>VOV</stp>
        <tr r="BG6" s="2"/>
        <tr r="W4" s="5"/>
      </tp>
      <tp t="s">
        <v>-</v>
        <stp/>
        <stp>MRVE3_B_0</stp>
        <stp>VINT</stp>
        <tr r="CJ18" s="2"/>
        <tr r="AZ16" s="5"/>
      </tp>
      <tp t="s">
        <v>-</v>
        <stp/>
        <stp>MRFG3_B_0</stp>
        <stp>VIB</stp>
        <tr r="AW66" s="5"/>
        <tr r="CG68" s="2"/>
      </tp>
      <tp t="s">
        <v>-</v>
        <stp/>
        <stp>MRFG3_B_0</stp>
        <stp>VIA</stp>
        <tr r="AV66" s="5"/>
        <tr r="CF68" s="2"/>
      </tp>
      <tp t="s">
        <v>14/10/2025</v>
        <stp/>
        <stp>SMTO3_B_0</stp>
        <stp>DAT</stp>
        <tr r="D64" s="5"/>
        <tr r="AN66" s="2"/>
      </tp>
      <tp t="s">
        <v>31/12/9999</v>
        <stp/>
        <stp>IBOV_B_0</stp>
        <stp>VAL</stp>
        <tr r="BV6" s="2"/>
        <tr r="AL4" s="5"/>
      </tp>
      <tp>
        <v>-7.0791099886471393E-2</v>
        <stp/>
        <stp>IBOV_B_0</stp>
        <stp>VAR</stp>
        <tr r="AV6" s="2"/>
        <tr r="L4" s="5"/>
      </tp>
      <tp t="s">
        <v>-</v>
        <stp/>
        <stp>GOAU4_B_0</stp>
        <stp>BLACK</stp>
        <tr r="BY19" s="2"/>
        <tr r="AO17" s="5"/>
      </tp>
      <tp t="s">
        <v>-</v>
        <stp/>
        <stp>DXCO3_B_0</stp>
        <stp>THETA</stp>
        <tr r="CC75" s="2"/>
        <tr r="AS73" s="5"/>
      </tp>
      <tp>
        <v>0</v>
        <stp/>
        <stp>RCSL3_B_0</stp>
        <stp>CAB</stp>
        <tr r="AM63" s="5"/>
        <tr r="BW65" s="2"/>
      </tp>
      <tp>
        <v>0</v>
        <stp/>
        <stp>CRFB3_B_0</stp>
        <stp>VOV</stp>
        <tr r="BG63" s="2"/>
        <tr r="W61" s="5"/>
      </tp>
      <tp>
        <v>0</v>
        <stp/>
        <stp>CRFB3_B_0</stp>
        <stp>VOL</stp>
        <tr r="BC63" s="2"/>
        <tr r="S61" s="5"/>
      </tp>
      <tp>
        <v>0</v>
        <stp/>
        <stp>CRFB3_B_0</stp>
        <stp>VOC</stp>
        <tr r="BF63" s="2"/>
        <tr r="V61" s="5"/>
      </tp>
      <tp t="s">
        <v>-</v>
        <stp/>
        <stp>VALE3_B_0</stp>
        <stp>VIVH</stp>
        <tr r="CI12" s="2"/>
        <tr r="AY10" s="5"/>
      </tp>
      <tp>
        <v>6.62</v>
        <stp/>
        <stp>BEEF3_B_0</stp>
        <stp>ULT</stp>
        <tr r="K55" s="2"/>
        <tr r="F65" s="5"/>
        <tr r="AP67" s="2"/>
      </tp>
      <tp>
        <v>-0.59999999999998721</v>
        <stp/>
        <stp>DXCO3_B_0</stp>
        <stp>SEM</stp>
        <tr r="BM75" s="2"/>
        <tr r="AC73" s="5"/>
      </tp>
      <tp t="s">
        <v>-</v>
        <stp/>
        <stp>ASAI3_B_0</stp>
        <stp>VEGA</stp>
        <tr r="AU59" s="5"/>
        <tr r="CE61" s="2"/>
      </tp>
      <tp t="s">
        <v>-</v>
        <stp/>
        <stp>CRFB3_B_0</stp>
        <stp>VIA</stp>
        <tr r="CF63" s="2"/>
        <tr r="AV61" s="5"/>
      </tp>
      <tp t="s">
        <v>-</v>
        <stp/>
        <stp>CRFB3_B_0</stp>
        <stp>VIB</stp>
        <tr r="AW61" s="5"/>
        <tr r="CG63" s="2"/>
      </tp>
      <tp t="s">
        <v>01/01/9999</v>
        <stp/>
        <stp>IBOV_B_0</stp>
        <stp>VEN</stp>
        <tr r="BU6" s="2"/>
        <tr r="AK4" s="5"/>
      </tp>
      <tp>
        <v>0</v>
        <stp/>
        <stp>INDFUT_F_0</stp>
        <stp>PEX</stp>
        <tr r="AU17" s="2"/>
        <tr r="K15" s="5"/>
      </tp>
      <tp>
        <v>0</v>
        <stp/>
        <stp>MRFG3_B_0</stp>
        <stp>VOV</stp>
        <tr r="W66" s="5"/>
        <tr r="BG68" s="2"/>
      </tp>
      <tp t="s">
        <v>-</v>
        <stp/>
        <stp>SLCE3_B_0</stp>
        <stp>VIVH</stp>
        <tr r="CI79" s="2"/>
        <tr r="AY77" s="5"/>
      </tp>
      <tp>
        <v>0</v>
        <stp/>
        <stp>MRFG3_B_0</stp>
        <stp>VOC</stp>
        <tr r="V66" s="5"/>
        <tr r="BF68" s="2"/>
      </tp>
      <tp>
        <v>384516702</v>
        <stp/>
        <stp>MRFG3_B_0</stp>
        <stp>VOL</stp>
        <tr r="S66" s="5"/>
        <tr r="BC68" s="2"/>
      </tp>
      <tp>
        <v>0</v>
        <stp/>
        <stp>WDOU24_F_0</stp>
        <stp>CAB</stp>
        <tr r="BW55" s="2"/>
        <tr r="AM53" s="5"/>
      </tp>
      <tp>
        <v>0</v>
        <stp/>
        <stp>WDOX24_F_0</stp>
        <stp>NEG</stp>
        <tr r="AZ56" s="2"/>
        <tr r="P54" s="5"/>
      </tp>
      <tp>
        <v>0</v>
        <stp/>
        <stp>WING24_F_0</stp>
        <stp>QTE</stp>
        <tr r="BK42" s="2"/>
        <tr r="AA40" s="5"/>
      </tp>
      <tp>
        <v>0</v>
        <stp/>
        <stp>WDOG24_F_0</stp>
        <stp>QTE</stp>
        <tr r="BK53" s="2"/>
        <tr r="AA51" s="5"/>
      </tp>
      <tp>
        <v>0</v>
        <stp/>
        <stp>WING24_F_0</stp>
        <stp>QTT</stp>
        <tr r="BB42" s="2"/>
        <tr r="R40" s="5"/>
      </tp>
      <tp>
        <v>0</v>
        <stp/>
        <stp>WDOG24_F_0</stp>
        <stp>QTT</stp>
        <tr r="BB53" s="2"/>
        <tr r="R51" s="5"/>
      </tp>
      <tp>
        <v>0</v>
        <stp/>
        <stp>WDOG24_F_0</stp>
        <stp>QUL</stp>
        <tr r="BA53" s="2"/>
        <tr r="Q51" s="5"/>
      </tp>
      <tp>
        <v>0</v>
        <stp/>
        <stp>WING24_F_0</stp>
        <stp>QUL</stp>
        <tr r="BA42" s="2"/>
        <tr r="Q40" s="5"/>
      </tp>
      <tp>
        <v>0</v>
        <stp/>
        <stp>SANB11_B_0</stp>
        <stp>PRT</stp>
        <tr r="L71" s="2"/>
      </tp>
      <tp>
        <v>5500.5</v>
        <stp/>
        <stp>WDOFUTV_F_0</stp>
        <stp>FEC</stp>
        <tr r="J45" s="5"/>
        <tr r="AT47" s="2"/>
      </tp>
      <tp>
        <v>0</v>
        <stp/>
        <stp>BBAS3_B_0</stp>
        <stp>PEX</stp>
        <tr r="AU14" s="2"/>
        <tr r="K12" s="5"/>
      </tp>
      <tp>
        <v>5.17</v>
        <stp/>
        <stp>RAPT4_B_0</stp>
        <stp>ABE</stp>
        <tr r="G74" s="5"/>
        <tr r="AQ76" s="2"/>
      </tp>
      <tp t="s">
        <v>-</v>
        <stp/>
        <stp>BBDC4_B_0</stp>
        <stp>THETA</stp>
        <tr r="CC27" s="2"/>
        <tr r="AS25" s="5"/>
      </tp>
      <tp>
        <v>-45.59044927497952</v>
        <stp/>
        <stp>TUPY3_B_0</stp>
        <stp>ANO</stp>
        <tr r="BR81" s="2"/>
        <tr r="AH79" s="5"/>
      </tp>
      <tp>
        <v>0</v>
        <stp/>
        <stp>ISAE4_B_0</stp>
        <stp>PRT</stp>
        <tr r="L46" s="2"/>
      </tp>
      <tp>
        <v>0</v>
        <stp/>
        <stp>PCAR3_B_0</stp>
        <stp>PEX</stp>
        <tr r="AU70" s="2"/>
        <tr r="K68" s="5"/>
      </tp>
      <tp>
        <v>7.0595854922279822</v>
        <stp/>
        <stp>EMBR3_B_0</stp>
        <stp>SEM</stp>
        <tr r="BM26" s="2"/>
        <tr r="AC24" s="5"/>
      </tp>
      <tp>
        <v>2.0749279538904863</v>
        <stp/>
        <stp>GGBR4_B_0</stp>
        <stp>SEM</stp>
        <tr r="BM13" s="2"/>
        <tr r="AC11" s="5"/>
      </tp>
      <tp>
        <v>3.1456492754897298</v>
        <stp/>
        <stp>MRFG3_B_0</stp>
        <stp>SEMES</stp>
        <tr r="AJ66" s="5"/>
        <tr r="BT68" s="2"/>
      </tp>
      <tp t="s">
        <v>-</v>
        <stp/>
        <stp>ECOR3_B_0</stp>
        <stp>THETA</stp>
        <tr r="CC7" s="2"/>
        <tr r="AS5" s="5"/>
      </tp>
      <tp>
        <v>-2.0408163265306105</v>
        <stp/>
        <stp>MRVE3_B_0</stp>
        <stp>SEMES</stp>
        <tr r="BT18" s="2"/>
        <tr r="AJ16" s="5"/>
      </tp>
      <tp>
        <v>0</v>
        <stp/>
        <stp>DOLFUT_F_0</stp>
        <stp>QTE</stp>
        <tr r="BK15" s="2"/>
        <tr r="AA13" s="5"/>
      </tp>
      <tp>
        <v>11430</v>
        <stp/>
        <stp>DOLFUT_F_0</stp>
        <stp>QTT</stp>
        <tr r="BB15" s="2"/>
        <tr r="R13" s="5"/>
      </tp>
      <tp>
        <v>5</v>
        <stp/>
        <stp>DOLFUT_F_0</stp>
        <stp>QUL</stp>
        <tr r="Q13" s="5"/>
        <tr r="BA15" s="2"/>
      </tp>
      <tp>
        <v>0</v>
        <stp/>
        <stp>BRAP4_B_0</stp>
        <stp>PEX</stp>
        <tr r="AU30" s="2"/>
        <tr r="K28" s="5"/>
      </tp>
      <tp t="s">
        <v>-</v>
        <stp/>
        <stp>PCAR3_B_0</stp>
        <stp>IMPVT</stp>
        <tr r="BZ70" s="2"/>
        <tr r="AP68" s="5"/>
      </tp>
      <tp t="s">
        <v>-</v>
        <stp/>
        <stp>RCSL3_B_0</stp>
        <stp>GAMA</stp>
        <tr r="CB65" s="2"/>
        <tr r="AR63" s="5"/>
      </tp>
      <tp t="s">
        <v>-</v>
        <stp/>
        <stp>RAIL3_B_0</stp>
        <stp>GAMA</stp>
        <tr r="CB60" s="2"/>
        <tr r="AR58" s="5"/>
      </tp>
      <tp>
        <v>0</v>
        <stp/>
        <stp>TUPY3_B_0</stp>
        <stp>AJA</stp>
        <tr r="BI81" s="2"/>
        <tr r="Y79" s="5"/>
      </tp>
      <tp>
        <v>0</v>
        <stp/>
        <stp>TUPY3_B_0</stp>
        <stp>AJU</stp>
        <tr r="BH81" s="2"/>
        <tr r="X79" s="5"/>
      </tp>
      <tp>
        <v>0</v>
        <stp/>
        <stp>GOAU4_B_0</stp>
        <stp>PEX</stp>
        <tr r="AU19" s="2"/>
        <tr r="K17" s="5"/>
      </tp>
      <tp>
        <v>0</v>
        <stp/>
        <stp>CEAB3_B_0</stp>
        <stp>PRT</stp>
        <tr r="L21" s="2"/>
      </tp>
      <tp t="s">
        <v>-</v>
        <stp/>
        <stp>ASAI3_B_0</stp>
        <stp>BLACK</stp>
        <tr r="BY61" s="2"/>
        <tr r="AO59" s="5"/>
      </tp>
      <tp>
        <v>0</v>
        <stp/>
        <stp>GMAT3_B_0</stp>
        <stp>PEX</stp>
        <tr r="AU59" s="2"/>
        <tr r="K57" s="5"/>
      </tp>
      <tp t="s">
        <v>-</v>
        <stp/>
        <stp>ARML3_B_0</stp>
        <stp>BLACK</stp>
        <tr r="AO78" s="5"/>
        <tr r="BY80" s="2"/>
      </tp>
      <tp t="s">
        <v>-</v>
        <stp/>
        <stp>ARZZ3_B_0</stp>
        <stp>BLACK</stp>
        <tr r="BY72" s="2"/>
        <tr r="AO70" s="5"/>
      </tp>
      <tp>
        <v>0</v>
        <stp/>
        <stp>RAPT4_B_0</stp>
        <stp>AJA</stp>
        <tr r="BI76" s="2"/>
        <tr r="Y74" s="5"/>
      </tp>
      <tp>
        <v>0</v>
        <stp/>
        <stp>RAPT4_B_0</stp>
        <stp>AJU</stp>
        <tr r="BH76" s="2"/>
        <tr r="X74" s="5"/>
      </tp>
      <tp>
        <v>0</v>
        <stp/>
        <stp>CSAN3_B_0</stp>
        <stp>PRT</stp>
        <tr r="L25" s="2"/>
        <tr r="BJ62" s="2"/>
        <tr r="Z60" s="5"/>
      </tp>
      <tp t="s">
        <v>Pré-Fechamento</v>
        <stp/>
        <stp>SMTO3_B_0</stp>
        <stp>EST</stp>
        <tr r="AN64" s="5"/>
        <tr r="BX66" s="2"/>
      </tp>
      <tp>
        <v>-46.285691076723126</v>
        <stp/>
        <stp>RAPT4_B_0</stp>
        <stp>ANO</stp>
        <tr r="BR76" s="2"/>
        <tr r="AH74" s="5"/>
      </tp>
      <tp>
        <v>12.54</v>
        <stp/>
        <stp>TUPY3_B_0</stp>
        <stp>ABE</stp>
        <tr r="G79" s="5"/>
        <tr r="AQ81" s="2"/>
      </tp>
      <tp>
        <v>0</v>
        <stp/>
        <stp>ASAI3_B_0</stp>
        <stp>PRT</stp>
        <tr r="L8" s="2"/>
        <tr r="Z59" s="5"/>
        <tr r="BJ61" s="2"/>
      </tp>
      <tp>
        <v>5</v>
        <stp/>
        <stp>INDFUT_F_0</stp>
        <stp>QUL</stp>
        <tr r="BA17" s="2"/>
        <tr r="Q15" s="5"/>
      </tp>
      <tp>
        <v>0</v>
        <stp/>
        <stp>INDFUT_F_0</stp>
        <stp>QTE</stp>
        <tr r="BK17" s="2"/>
        <tr r="AA15" s="5"/>
      </tp>
      <tp>
        <v>8455</v>
        <stp/>
        <stp>INDFUT_F_0</stp>
        <stp>QTT</stp>
        <tr r="R15" s="5"/>
        <tr r="BB17" s="2"/>
      </tp>
      <tp t="s">
        <v>-</v>
        <stp/>
        <stp>EMBR3_B_0</stp>
        <stp>THETA</stp>
        <tr r="CC26" s="2"/>
        <tr r="AS24" s="5"/>
      </tp>
      <tp>
        <v>3</v>
        <stp/>
        <stp>WDOFUT_F_0</stp>
        <stp>QUL</stp>
        <tr r="Q35" s="5"/>
        <tr r="BA37" s="2"/>
      </tp>
      <tp>
        <v>4</v>
        <stp/>
        <stp>WINFUT_F_0</stp>
        <stp>QUL</stp>
        <tr r="BA36" s="2"/>
        <tr r="Q34" s="5"/>
      </tp>
      <tp>
        <v>0</v>
        <stp/>
        <stp>KEPL3_B_0</stp>
        <stp>AJU</stp>
        <tr r="BH73" s="2"/>
        <tr r="X71" s="5"/>
      </tp>
      <tp>
        <v>0</v>
        <stp/>
        <stp>GMAT3_B_0</stp>
        <stp>PRT</stp>
        <tr r="BJ59" s="2"/>
        <tr r="Z57" s="5"/>
      </tp>
      <tp>
        <v>0</v>
        <stp/>
        <stp>KEPL3_B_0</stp>
        <stp>AJA</stp>
        <tr r="BI73" s="2"/>
        <tr r="Y71" s="5"/>
      </tp>
      <tp t="s">
        <v>-</v>
        <stp/>
        <stp>LREN3_B_0</stp>
        <stp>DELTA</stp>
        <tr r="CA34" s="2"/>
        <tr r="AQ32" s="5"/>
      </tp>
      <tp t="s">
        <v>-</v>
        <stp/>
        <stp>BRAP4_B_0</stp>
        <stp>THETA</stp>
        <tr r="CC30" s="2"/>
        <tr r="AS28" s="5"/>
      </tp>
      <tp>
        <v>0</v>
        <stp/>
        <stp>WINFUT_F_0</stp>
        <stp>QTE</stp>
        <tr r="BK36" s="2"/>
        <tr r="AA34" s="5"/>
      </tp>
      <tp>
        <v>0</v>
        <stp/>
        <stp>WDOFUT_F_0</stp>
        <stp>QTE</stp>
        <tr r="BK37" s="2"/>
        <tr r="AA35" s="5"/>
      </tp>
      <tp>
        <v>1287346</v>
        <stp/>
        <stp>WINFUT_F_0</stp>
        <stp>QTT</stp>
        <tr r="BB36" s="2"/>
        <tr r="R34" s="5"/>
      </tp>
      <tp>
        <v>256742</v>
        <stp/>
        <stp>WDOFUT_F_0</stp>
        <stp>QTT</stp>
        <tr r="BB37" s="2"/>
        <tr r="R35" s="5"/>
      </tp>
      <tp>
        <v>0</v>
        <stp/>
        <stp>GOAU4_B_0</stp>
        <stp>PRT</stp>
        <tr r="L41" s="2"/>
        <tr r="BJ19" s="2"/>
        <tr r="Z17" s="5"/>
      </tp>
      <tp t="s">
        <v>-</v>
        <stp/>
        <stp>DXCO3_B_0</stp>
        <stp>RHO</stp>
        <tr r="CD75" s="2"/>
        <tr r="AT73" s="5"/>
      </tp>
      <tp>
        <v>0</v>
        <stp/>
        <stp>BRAV3_B_0</stp>
        <stp>PRT</stp>
        <tr r="L18" s="2"/>
      </tp>
      <tp>
        <v>0</v>
        <stp/>
        <stp>CYRE3_B_0</stp>
        <stp>CAB</stp>
        <tr r="BW28" s="2"/>
        <tr r="AM26" s="5"/>
      </tp>
      <tp t="s">
        <v>-</v>
        <stp/>
        <stp>AGRO3_B_0</stp>
        <stp>BLACK</stp>
        <tr r="BY71" s="2"/>
        <tr r="AO69" s="5"/>
      </tp>
      <tp>
        <v>0</v>
        <stp/>
        <stp>BRAP4_B_0</stp>
        <stp>PRT</stp>
        <tr r="L15" s="2"/>
        <tr r="BJ30" s="2"/>
        <tr r="Z28" s="5"/>
      </tp>
      <tp>
        <v>-18.016674182768472</v>
        <stp/>
        <stp>KEPL3_B_0</stp>
        <stp>ANO</stp>
        <tr r="BR73" s="2"/>
        <tr r="AH71" s="5"/>
      </tp>
      <tp>
        <v>-10.862944162436532</v>
        <stp/>
        <stp>MGLU3_B_0</stp>
        <stp>SEMES</stp>
        <tr r="BT35" s="2"/>
        <tr r="AJ33" s="5"/>
      </tp>
      <tp t="s">
        <v>14/10/2025</v>
        <stp/>
        <stp>ITUB4_B_0</stp>
        <stp>DAT</stp>
        <tr r="D30" s="5"/>
        <tr r="AN32" s="2"/>
      </tp>
      <tp t="s">
        <v>-</v>
        <stp/>
        <stp>CAML3_B_0</stp>
        <stp>GAMA</stp>
        <tr r="CB83" s="2"/>
        <tr r="AR81" s="5"/>
      </tp>
      <tp t="s">
        <v>-</v>
        <stp/>
        <stp>CIEL3_B_0</stp>
        <stp>GAMA</stp>
        <tr r="CB8" s="2"/>
        <tr r="AR6" s="5"/>
      </tp>
      <tp>
        <v>18.740000000000002</v>
        <stp/>
        <stp>RADL3_B_0</stp>
        <stp>ULT</stp>
        <tr r="K66" s="2"/>
      </tp>
      <tp>
        <v>0</v>
        <stp/>
        <stp>PCAR3_B_0</stp>
        <stp>PRT</stp>
        <tr r="L60" s="2"/>
        <tr r="BJ70" s="2"/>
        <tr r="Z68" s="5"/>
      </tp>
      <tp t="s">
        <v>-</v>
        <stp/>
        <stp>ARML3_B_0</stp>
        <stp>GAMA</stp>
        <tr r="CB80" s="2"/>
        <tr r="AR78" s="5"/>
      </tp>
      <tp>
        <v>0</v>
        <stp/>
        <stp>BBAS3_B_0</stp>
        <stp>PRT</stp>
        <tr r="L16" s="2"/>
        <tr r="BJ14" s="2"/>
        <tr r="Z12" s="5"/>
      </tp>
      <tp t="s">
        <v>Pré-Fechamento</v>
        <stp/>
        <stp>PETR4_B_0</stp>
        <stp>EST</stp>
        <tr r="BX11" s="2"/>
        <tr r="AN9" s="5"/>
      </tp>
      <tp>
        <v>18.101647129899234</v>
        <stp/>
        <stp>MDIA3_B_0</stp>
        <stp>SEMES</stp>
        <tr r="BT78" s="2"/>
        <tr r="AJ76" s="5"/>
      </tp>
      <tp t="s">
        <v>-</v>
        <stp/>
        <stp>ABEV3_B_0</stp>
        <stp>BLACK</stp>
        <tr r="BY20" s="2"/>
        <tr r="AO18" s="5"/>
      </tp>
      <tp>
        <v>7.1</v>
        <stp/>
        <stp>KEPL3_B_0</stp>
        <stp>ABE</stp>
        <tr r="G71" s="5"/>
        <tr r="AQ73" s="2"/>
      </tp>
      <tp>
        <v>0</v>
        <stp/>
        <stp>AGRO3_B_0</stp>
        <stp>CAB</stp>
        <tr r="BW71" s="2"/>
        <tr r="AM69" s="5"/>
      </tp>
      <tp>
        <v>17.16</v>
        <stp/>
        <stp>BBDC4_B_0</stp>
        <stp>ULT</stp>
        <tr r="K14" s="2"/>
        <tr r="F25" s="5"/>
        <tr r="AP27" s="2"/>
      </tp>
      <tp>
        <v>14.600000000000001</v>
        <stp/>
        <stp>BBDC3_B_0</stp>
        <stp>ULT</stp>
        <tr r="K13" s="2"/>
      </tp>
      <tp>
        <v>0</v>
        <stp/>
        <stp>ASAI3_B_0</stp>
        <stp>PEX</stp>
        <tr r="AU61" s="2"/>
        <tr r="K59" s="5"/>
      </tp>
      <tp t="s">
        <v>-</v>
        <stp/>
        <stp>SLCE3_B_0</stp>
        <stp>RHO</stp>
        <tr r="CD79" s="2"/>
        <tr r="AT77" s="5"/>
      </tp>
      <tp>
        <v>-5.3670563373196943E-2</v>
        <stp/>
        <stp>IFIX_B_0</stp>
        <stp>SEM</stp>
        <tr r="AC46" s="5"/>
        <tr r="BM48" s="2"/>
      </tp>
      <tp t="s">
        <v>-</v>
        <stp/>
        <stp>JALL3_B_0</stp>
        <stp>GAMA</stp>
        <tr r="AR67" s="5"/>
        <tr r="CB69" s="2"/>
      </tp>
      <tp>
        <v>0</v>
        <stp/>
        <stp>CSAN3_B_0</stp>
        <stp>PEX</stp>
        <tr r="AU62" s="2"/>
        <tr r="K60" s="5"/>
      </tp>
      <tp t="s">
        <v>-</v>
        <stp/>
        <stp>KEPL3_B_0</stp>
        <stp>GAMA</stp>
        <tr r="CB73" s="2"/>
        <tr r="AR71" s="5"/>
      </tp>
      <tp>
        <v>0</v>
        <stp/>
        <stp>WINV24_F_0</stp>
        <stp>ABE</stp>
        <tr r="G42" s="5"/>
        <tr r="AQ44" s="2"/>
      </tp>
      <tp>
        <v>0</v>
        <stp/>
        <stp>WDOV24_F_0</stp>
        <stp>ABE</stp>
        <tr r="G55" s="5"/>
        <tr r="AQ57" s="2"/>
      </tp>
      <tp>
        <v>0</v>
        <stp/>
        <stp>WDOX24_F_0</stp>
        <stp>OCP</stp>
        <tr r="BD56" s="2"/>
        <tr r="T54" s="5"/>
      </tp>
      <tp>
        <v>0</v>
        <stp/>
        <stp>WINZ24_F_0</stp>
        <stp>MAX</stp>
        <tr r="AR43" s="2"/>
        <tr r="H41" s="5"/>
      </tp>
      <tp>
        <v>0</v>
        <stp/>
        <stp>BPAC11_B_0</stp>
        <stp>PRT</stp>
        <tr r="L19" s="2"/>
      </tp>
      <tp>
        <v>0</v>
        <stp/>
        <stp>WINQ24_F_0</stp>
        <stp>FEC</stp>
        <tr r="AT41" s="2"/>
        <tr r="J39" s="5"/>
      </tp>
      <tp>
        <v>0</v>
        <stp/>
        <stp>WINZ24_F_0</stp>
        <stp>MED</stp>
        <tr r="AX43" s="2"/>
        <tr r="N41" s="5"/>
      </tp>
      <tp t="s">
        <v>-</v>
        <stp/>
        <stp>IFIX_B_0</stp>
        <stp>VEGA</stp>
        <tr r="AU46" s="5"/>
        <tr r="CE48" s="2"/>
      </tp>
      <tp>
        <v>0</v>
        <stp/>
        <stp>WDOQ24_F_0</stp>
        <stp>FEC</stp>
        <tr r="AT54" s="2"/>
        <tr r="J52" s="5"/>
      </tp>
      <tp>
        <v>0</v>
        <stp/>
        <stp>WINZ24_F_0</stp>
        <stp>MES</stp>
        <tr r="BN43" s="2"/>
        <tr r="AD41" s="5"/>
      </tp>
      <tp>
        <v>0</v>
        <stp/>
        <stp>WDOG24_F_0</stp>
        <stp>PEX</stp>
        <tr r="AU53" s="2"/>
        <tr r="K51" s="5"/>
      </tp>
      <tp>
        <v>0</v>
        <stp/>
        <stp>WING24_F_0</stp>
        <stp>PEX</stp>
        <tr r="AU42" s="2"/>
        <tr r="K40" s="5"/>
      </tp>
      <tp>
        <v>0</v>
        <stp/>
        <stp>WINV24_F_0</stp>
        <stp>AJA</stp>
        <tr r="BI44" s="2"/>
        <tr r="Y42" s="5"/>
      </tp>
      <tp>
        <v>0</v>
        <stp/>
        <stp>WDOV24_F_0</stp>
        <stp>AJA</stp>
        <tr r="BI57" s="2"/>
        <tr r="Y55" s="5"/>
      </tp>
      <tp>
        <v>0</v>
        <stp/>
        <stp>WINV24_F_0</stp>
        <stp>AJU</stp>
        <tr r="BH44" s="2"/>
        <tr r="X42" s="5"/>
      </tp>
      <tp>
        <v>0</v>
        <stp/>
        <stp>WDOV24_F_0</stp>
        <stp>AJU</stp>
        <tr r="BH57" s="2"/>
        <tr r="X55" s="5"/>
      </tp>
      <tp>
        <v>0</v>
        <stp/>
        <stp>WINZ24_F_0</stp>
        <stp>MIN</stp>
        <tr r="AS43" s="2"/>
        <tr r="I41" s="5"/>
      </tp>
      <tp>
        <v>0</v>
        <stp/>
        <stp>WDOV24_F_0</stp>
        <stp>ANO</stp>
        <tr r="BR57" s="2"/>
        <tr r="AH55" s="5"/>
      </tp>
      <tp>
        <v>0</v>
        <stp/>
        <stp>WINV24_F_0</stp>
        <stp>ANO</stp>
        <tr r="BR44" s="2"/>
        <tr r="AH42" s="5"/>
      </tp>
      <tp>
        <v>0</v>
        <stp/>
        <stp>WING24_F_0</stp>
        <stp>PRT</stp>
        <tr r="BJ42" s="2"/>
        <tr r="Z40" s="5"/>
      </tp>
      <tp>
        <v>0</v>
        <stp/>
        <stp>WDOG24_F_0</stp>
        <stp>PRT</stp>
        <tr r="BJ53" s="2"/>
        <tr r="Z51" s="5"/>
      </tp>
      <tp>
        <v>0</v>
        <stp/>
        <stp>WDOX24_F_0</stp>
        <stp>OVD</stp>
        <tr r="BE56" s="2"/>
        <tr r="U54" s="5"/>
      </tp>
      <tp t="s">
        <v>-</v>
        <stp/>
        <stp>IFIX_B_0</stp>
        <stp>VEXT</stp>
        <tr r="CK48" s="2"/>
        <tr r="BA46" s="5"/>
      </tp>
      <tp t="s">
        <v>03/11/2025</v>
        <stp/>
        <stp>WDOFUT_F_0</stp>
        <stp>VEN</stp>
        <tr r="BU37" s="2"/>
        <tr r="AK35" s="5"/>
      </tp>
      <tp t="s">
        <v>17/12/2025</v>
        <stp/>
        <stp>WINFUT_F_0</stp>
        <stp>VEN</stp>
        <tr r="BU36" s="2"/>
        <tr r="AK34" s="5"/>
      </tp>
      <tp>
        <v>0</v>
        <stp/>
        <stp>BRFS3_B_0</stp>
        <stp>PEX</stp>
        <tr r="AU33" s="2"/>
        <tr r="K31" s="5"/>
      </tp>
      <tp t="s">
        <v>-</v>
        <stp/>
        <stp>BBAS3_B_0</stp>
        <stp>THETA</stp>
        <tr r="CC14" s="2"/>
        <tr r="AS12" s="5"/>
      </tp>
      <tp>
        <v>0</v>
        <stp/>
        <stp>CPFE3_B_0</stp>
        <stp>PRT</stp>
        <tr r="L26" s="2"/>
      </tp>
      <tp t="s">
        <v>-</v>
        <stp/>
        <stp>AGRO3_B_0</stp>
        <stp>VEXT</stp>
        <tr r="CK71" s="2"/>
        <tr r="BA69" s="5"/>
      </tp>
      <tp>
        <v>0</v>
        <stp/>
        <stp>MRFG3_B_0</stp>
        <stp>PRT</stp>
        <tr r="BJ68" s="2"/>
        <tr r="Z66" s="5"/>
      </tp>
      <tp t="s">
        <v>31/10/2025</v>
        <stp/>
        <stp>WDOFUT_F_0</stp>
        <stp>VAL</stp>
        <tr r="BV37" s="2"/>
        <tr r="AL35" s="5"/>
      </tp>
      <tp t="s">
        <v>17/12/2025</v>
        <stp/>
        <stp>WINFUT_F_0</stp>
        <stp>VAL</stp>
        <tr r="BV36" s="2"/>
        <tr r="AL34" s="5"/>
      </tp>
      <tp>
        <v>-0.14146223648345582</v>
        <stp/>
        <stp>WINFUT_F_0</stp>
        <stp>VAR</stp>
        <tr r="AV36" s="2"/>
        <tr r="L34" s="5"/>
      </tp>
      <tp>
        <v>-0.19998181983456051</v>
        <stp/>
        <stp>WDOFUT_F_0</stp>
        <stp>VAR</stp>
        <tr r="AV37" s="2"/>
        <tr r="L35" s="5"/>
      </tp>
      <tp t="s">
        <v>Pré-Fechamento</v>
        <stp/>
        <stp>ITSA4_B_0</stp>
        <stp>EST</stp>
        <tr r="BX31" s="2"/>
        <tr r="AN29" s="5"/>
      </tp>
      <tp t="s">
        <v>Pré-Fechamento</v>
        <stp/>
        <stp>HBSA3_B_0</stp>
        <stp>EST</stp>
        <tr r="BX58" s="2"/>
        <tr r="AN56" s="5"/>
      </tp>
      <tp t="s">
        <v>Pré-Fechamento</v>
        <stp/>
        <stp>GFSA3_B_0</stp>
        <stp>EST</stp>
        <tr r="BX22" s="2"/>
        <tr r="AN20" s="5"/>
      </tp>
      <tp t="s">
        <v>Pré-Fechamento</v>
        <stp/>
        <stp>B3SA3_B_0</stp>
        <stp>EST</stp>
        <tr r="BX21" s="2"/>
        <tr r="AN19" s="5"/>
      </tp>
      <tp>
        <v>33.760000000000005</v>
        <stp/>
        <stp>HAPV3_B_0</stp>
        <stp>FEC</stp>
        <tr r="J42" s="2"/>
      </tp>
      <tp>
        <v>2.032176121930569</v>
        <stp/>
        <stp>ABEV3_B_0</stp>
        <stp>SEM</stp>
        <tr r="AC18" s="5"/>
        <tr r="BM20" s="2"/>
      </tp>
      <tp t="s">
        <v>-</v>
        <stp/>
        <stp>PETR4_B_0</stp>
        <stp>IMPVT</stp>
        <tr r="BZ11" s="2"/>
        <tr r="AP9" s="5"/>
      </tp>
      <tp>
        <v>86440632114.853104</v>
        <stp/>
        <stp>DOLFUT_F_0</stp>
        <stp>VPJ</stp>
        <tr r="BL15" s="2"/>
        <tr r="AB13" s="5"/>
      </tp>
      <tp>
        <v>0</v>
        <stp/>
        <stp>CRFB3_B_0</stp>
        <stp>PRT</stp>
        <tr r="Z61" s="5"/>
        <tr r="BJ63" s="2"/>
      </tp>
      <tp>
        <v>5.24</v>
        <stp/>
        <stp>RAPT4_B_0</stp>
        <stp>FEC</stp>
        <tr r="AT76" s="2"/>
        <tr r="J74" s="5"/>
      </tp>
      <tp t="s">
        <v>-</v>
        <stp/>
        <stp>DXCO3_B_0</stp>
        <stp>VEXT</stp>
        <tr r="CK75" s="2"/>
        <tr r="BA73" s="5"/>
      </tp>
      <tp t="s">
        <v>-</v>
        <stp/>
        <stp>BEEF3_B_0</stp>
        <stp>THETA</stp>
        <tr r="AS65" s="5"/>
        <tr r="CC67" s="2"/>
      </tp>
      <tp t="s">
        <v>-</v>
        <stp/>
        <stp>KEPL3_B_0</stp>
        <stp>DELTA</stp>
        <tr r="CA73" s="2"/>
        <tr r="AQ71" s="5"/>
      </tp>
      <tp t="s">
        <v>-</v>
        <stp/>
        <stp>BBDC4_B_0</stp>
        <stp>VIVH</stp>
        <tr r="AY25" s="5"/>
        <tr r="CI27" s="2"/>
      </tp>
      <tp t="s">
        <v>Pré-Fechamento</v>
        <stp/>
        <stp>RCSL3_B_0</stp>
        <stp>EST</stp>
        <tr r="BX65" s="2"/>
        <tr r="AN63" s="5"/>
      </tp>
      <tp>
        <v>14085057055</v>
        <stp/>
        <stp>WDOFUT_F_0</stp>
        <stp>VOL</stp>
        <tr r="BC37" s="2"/>
        <tr r="S35" s="5"/>
      </tp>
      <tp>
        <v>92</v>
        <stp/>
        <stp>WINFUT_F_0</stp>
        <stp>VOC</stp>
        <tr r="BF36" s="2"/>
        <tr r="V34" s="5"/>
      </tp>
      <tp>
        <v>37326255424</v>
        <stp/>
        <stp>WINFUT_F_0</stp>
        <stp>VOL</stp>
        <tr r="BC36" s="2"/>
        <tr r="S34" s="5"/>
      </tp>
      <tp>
        <v>458</v>
        <stp/>
        <stp>WDOFUT_F_0</stp>
        <stp>VOC</stp>
        <tr r="BF37" s="2"/>
        <tr r="V35" s="5"/>
      </tp>
      <tp>
        <v>19</v>
        <stp/>
        <stp>WINFUT_F_0</stp>
        <stp>VOV</stp>
        <tr r="BG36" s="2"/>
        <tr r="W34" s="5"/>
      </tp>
      <tp>
        <v>105</v>
        <stp/>
        <stp>WDOFUT_F_0</stp>
        <stp>VOV</stp>
        <tr r="BG37" s="2"/>
        <tr r="W35" s="5"/>
      </tp>
      <tp>
        <v>12.47</v>
        <stp/>
        <stp>TUPY3_B_0</stp>
        <stp>FEC</stp>
        <tr r="AT81" s="2"/>
        <tr r="J79" s="5"/>
      </tp>
      <tp t="s">
        <v>-</v>
        <stp/>
        <stp>VAMO3_B_0</stp>
        <stp>VEGA</stp>
        <tr r="CE74" s="2"/>
        <tr r="AU72" s="5"/>
      </tp>
      <tp>
        <v>0</v>
        <stp/>
        <stp>IBOV_B_0</stp>
        <stp>PRT</stp>
        <tr r="BJ6" s="2"/>
        <tr r="Z4" s="5"/>
      </tp>
      <tp>
        <v>32044039400.820034</v>
        <stp/>
        <stp>INDFUT_F_0</stp>
        <stp>VPJ</stp>
        <tr r="AB15" s="5"/>
        <tr r="BL17" s="2"/>
      </tp>
      <tp t="s">
        <v>-</v>
        <stp/>
        <stp>WINFUT_F_0</stp>
        <stp>VIA</stp>
        <tr r="CF36" s="2"/>
        <tr r="AV34" s="5"/>
      </tp>
      <tp t="s">
        <v>-</v>
        <stp/>
        <stp>WINFUT_F_0</stp>
        <stp>VIB</stp>
        <tr r="CG36" s="2"/>
        <tr r="AW34" s="5"/>
      </tp>
      <tp t="s">
        <v>-</v>
        <stp/>
        <stp>WDOFUT_F_0</stp>
        <stp>VIA</stp>
        <tr r="CF37" s="2"/>
        <tr r="AV35" s="5"/>
      </tp>
      <tp t="s">
        <v>-</v>
        <stp/>
        <stp>WDOFUT_F_0</stp>
        <stp>VIB</stp>
        <tr r="CG37" s="2"/>
        <tr r="AW35" s="5"/>
      </tp>
      <tp>
        <v>12.01</v>
        <stp/>
        <stp>RECV3_B_0</stp>
        <stp>ULT</stp>
        <tr r="K63" s="2"/>
      </tp>
      <tp t="s">
        <v>-</v>
        <stp/>
        <stp>SMTO3_B_0</stp>
        <stp>VEGA</stp>
        <tr r="AU64" s="5"/>
        <tr r="CE66" s="2"/>
      </tp>
      <tp t="s">
        <v>-</v>
        <stp/>
        <stp>BBDC4_B_0</stp>
        <stp>VINT</stp>
        <tr r="CJ27" s="2"/>
        <tr r="AZ25" s="5"/>
      </tp>
      <tp t="s">
        <v>-</v>
        <stp/>
        <stp>SMTO3_B_0</stp>
        <stp>VEXT</stp>
        <tr r="BA64" s="5"/>
        <tr r="CK66" s="2"/>
      </tp>
      <tp>
        <v>0</v>
        <stp/>
        <stp>SMFT3_B_0</stp>
        <stp>PRT</stp>
        <tr r="L74" s="2"/>
      </tp>
      <tp t="s">
        <v>-</v>
        <stp/>
        <stp>BRFS3_B_0</stp>
        <stp>THETA</stp>
        <tr r="CC33" s="2"/>
        <tr r="AS31" s="5"/>
      </tp>
      <tp>
        <v>0</v>
        <stp/>
        <stp>CRFB3_B_0</stp>
        <stp>PEX</stp>
        <tr r="AU63" s="2"/>
        <tr r="K61" s="5"/>
      </tp>
      <tp>
        <v>0</v>
        <stp/>
        <stp>JBSS3_B_0</stp>
        <stp>SEMES</stp>
        <tr r="BT64" s="2"/>
        <tr r="AJ62" s="5"/>
      </tp>
      <tp t="s">
        <v>-</v>
        <stp/>
        <stp>INDFUT_F_0</stp>
        <stp>VIB</stp>
        <tr r="CG17" s="2"/>
        <tr r="AW15" s="5"/>
      </tp>
      <tp t="s">
        <v>-</v>
        <stp/>
        <stp>INDFUT_F_0</stp>
        <stp>VIA</stp>
        <tr r="CF17" s="2"/>
        <tr r="AV15" s="5"/>
      </tp>
      <tp t="s">
        <v>14/10/2025</v>
        <stp/>
        <stp>CYRE3_B_0</stp>
        <stp>DAT</stp>
        <tr r="D26" s="5"/>
        <tr r="AN28" s="2"/>
      </tp>
      <tp>
        <v>21.41</v>
        <stp/>
        <stp>UGPA3_B_0</stp>
        <stp>FEC</stp>
        <tr r="J80" s="2"/>
      </tp>
      <tp>
        <v>-32.72727272727272</v>
        <stp/>
        <stp>JALL3_B_0</stp>
        <stp>SEMES</stp>
        <tr r="AJ67" s="5"/>
        <tr r="BT69" s="2"/>
      </tp>
      <tp t="s">
        <v>03/11/2025</v>
        <stp/>
        <stp>DOLFUT_F_0</stp>
        <stp>VEN</stp>
        <tr r="BU15" s="2"/>
        <tr r="AK13" s="5"/>
      </tp>
      <tp>
        <v>10</v>
        <stp/>
        <stp>INDFUT_F_0</stp>
        <stp>VOC</stp>
        <tr r="BF17" s="2"/>
        <tr r="V15" s="5"/>
      </tp>
      <tp>
        <v>1226024975</v>
        <stp/>
        <stp>INDFUT_F_0</stp>
        <stp>VOL</stp>
        <tr r="BC17" s="2"/>
        <tr r="S15" s="5"/>
      </tp>
      <tp>
        <v>5</v>
        <stp/>
        <stp>INDFUT_F_0</stp>
        <stp>VOV</stp>
        <tr r="W15" s="5"/>
        <tr r="BG17" s="2"/>
      </tp>
      <tp>
        <v>0</v>
        <stp/>
        <stp>MRFG3_B_0</stp>
        <stp>PEX</stp>
        <tr r="K66" s="5"/>
        <tr r="AU68" s="2"/>
      </tp>
      <tp>
        <v>360584383828.16949</v>
        <stp/>
        <stp>WDOFUT_F_0</stp>
        <stp>VPJ</stp>
        <tr r="BL37" s="2"/>
        <tr r="AB35" s="5"/>
      </tp>
      <tp>
        <v>955570485807.72754</v>
        <stp/>
        <stp>WINFUT_F_0</stp>
        <stp>VPJ</stp>
        <tr r="BL36" s="2"/>
        <tr r="AB34" s="5"/>
      </tp>
      <tp t="s">
        <v>-</v>
        <stp/>
        <stp>VAMO3_B_0</stp>
        <stp>VEXT</stp>
        <tr r="CK74" s="2"/>
        <tr r="BA72" s="5"/>
      </tp>
      <tp>
        <v>4.9700000000000006</v>
        <stp/>
        <stp>DXCO3_B_0</stp>
        <stp>ULT</stp>
        <tr r="F73" s="5"/>
        <tr r="AP75" s="2"/>
      </tp>
      <tp>
        <v>1.3782542113323102</v>
        <stp/>
        <stp>BEEF3_B_0</stp>
        <stp>SEM</stp>
        <tr r="AC65" s="5"/>
        <tr r="BM67" s="2"/>
      </tp>
      <tp>
        <v>0</v>
        <stp/>
        <stp>ITUB4_B_0</stp>
        <stp>CAB</stp>
        <tr r="BW32" s="2"/>
        <tr r="AM30" s="5"/>
      </tp>
      <tp t="s">
        <v>NONE</v>
        <stp/>
        <stp>JBSS3_B_0</stp>
        <stp>EST</stp>
        <tr r="BX64" s="2"/>
        <tr r="AN62" s="5"/>
      </tp>
      <tp>
        <v>21.42</v>
        <stp/>
        <stp>HYPE3_B_0</stp>
        <stp>FEC</stp>
        <tr r="J43" s="2"/>
      </tp>
      <tp t="s">
        <v>31/10/2025</v>
        <stp/>
        <stp>DOLFUT_F_0</stp>
        <stp>VAL</stp>
        <tr r="BV15" s="2"/>
        <tr r="AL13" s="5"/>
      </tp>
      <tp>
        <v>-0.14552069122328329</v>
        <stp/>
        <stp>DOLFUT_F_0</stp>
        <stp>VAR</stp>
        <tr r="L13" s="5"/>
        <tr r="AV15" s="2"/>
      </tp>
      <tp>
        <v>0</v>
        <stp/>
        <stp>BRFS3_B_0</stp>
        <stp>PRT</stp>
        <tr r="Z31" s="5"/>
        <tr r="BJ33" s="2"/>
      </tp>
      <tp>
        <v>1.72</v>
        <stp/>
        <stp>CVCB3_B_0</stp>
        <stp>ULT</stp>
        <tr r="K29" s="2"/>
      </tp>
      <tp t="s">
        <v>-</v>
        <stp/>
        <stp>DXCO3_B_0</stp>
        <stp>VEGA</stp>
        <tr r="CE75" s="2"/>
        <tr r="AU73" s="5"/>
      </tp>
      <tp t="s">
        <v>14/10/2025</v>
        <stp/>
        <stp>AGRO3_B_0</stp>
        <stp>DAT</stp>
        <tr r="D69" s="5"/>
        <tr r="AN71" s="2"/>
      </tp>
      <tp>
        <v>30</v>
        <stp/>
        <stp>DOLFUT_F_0</stp>
        <stp>VOC</stp>
        <tr r="BF15" s="2"/>
        <tr r="V13" s="5"/>
      </tp>
      <tp>
        <v>3135410625</v>
        <stp/>
        <stp>DOLFUT_F_0</stp>
        <stp>VOL</stp>
        <tr r="S13" s="5"/>
        <tr r="BC15" s="2"/>
      </tp>
      <tp>
        <v>55</v>
        <stp/>
        <stp>DOLFUT_F_0</stp>
        <stp>VOV</stp>
        <tr r="BG15" s="2"/>
        <tr r="W13" s="5"/>
      </tp>
      <tp t="s">
        <v>17/12/2025</v>
        <stp/>
        <stp>INDFUT_F_0</stp>
        <stp>VAL</stp>
        <tr r="BV17" s="2"/>
        <tr r="AL15" s="5"/>
      </tp>
      <tp>
        <v>-8.6287232941014036E-2</v>
        <stp/>
        <stp>INDFUT_F_0</stp>
        <stp>VAR</stp>
        <tr r="AV17" s="2"/>
        <tr r="L15" s="5"/>
      </tp>
      <tp>
        <v>0.29175784099197044</v>
        <stp/>
        <stp>TTEN3_B_0</stp>
        <stp>SEM</stp>
        <tr r="BM84" s="2"/>
        <tr r="AC82" s="5"/>
      </tp>
      <tp t="s">
        <v>-</v>
        <stp/>
        <stp>AGRO3_B_0</stp>
        <stp>VEGA</stp>
        <tr r="CE71" s="2"/>
        <tr r="AU69" s="5"/>
      </tp>
      <tp t="s">
        <v>-</v>
        <stp/>
        <stp>BBDC4_B_0</stp>
        <stp>RHO</stp>
        <tr r="CD27" s="2"/>
        <tr r="AT25" s="5"/>
      </tp>
      <tp>
        <v>2.4320457796852635</v>
        <stp/>
        <stp>LREN3_B_0</stp>
        <stp>SEM</stp>
        <tr r="BM34" s="2"/>
        <tr r="AC32" s="5"/>
      </tp>
      <tp>
        <v>0</v>
        <stp/>
        <stp>IBOV_B_0</stp>
        <stp>PEX</stp>
        <tr r="AU6" s="2"/>
        <tr r="K4" s="5"/>
      </tp>
      <tp t="s">
        <v>17/12/2025</v>
        <stp/>
        <stp>INDFUT_F_0</stp>
        <stp>VEN</stp>
        <tr r="BU17" s="2"/>
        <tr r="AK15" s="5"/>
      </tp>
      <tp t="s">
        <v>-</v>
        <stp/>
        <stp>DOLFUT_F_0</stp>
        <stp>VIB</stp>
        <tr r="AW13" s="5"/>
        <tr r="CG15" s="2"/>
      </tp>
      <tp t="s">
        <v>-</v>
        <stp/>
        <stp>DOLFUT_F_0</stp>
        <stp>VIA</stp>
        <tr r="CF15" s="2"/>
        <tr r="AV13" s="5"/>
      </tp>
      <tp>
        <v>7.11</v>
        <stp/>
        <stp>KEPL3_B_0</stp>
        <stp>FEC</stp>
        <tr r="AT73" s="2"/>
        <tr r="J71" s="5"/>
      </tp>
      <tp>
        <v>0</v>
        <stp/>
        <stp>CIEL3_B_0</stp>
        <stp>SEM</stp>
        <tr r="BM8" s="2"/>
        <tr r="AC6" s="5"/>
      </tp>
      <tp>
        <v>15.690000000000001</v>
        <stp/>
        <stp>SLCE3_B_0</stp>
        <stp>ULT</stp>
        <tr r="K73" s="2"/>
        <tr r="F77" s="5"/>
        <tr r="AP79" s="2"/>
      </tp>
      <tp>
        <v>0</v>
        <stp/>
        <stp>WINQ24_F_0</stp>
        <stp>ABE</stp>
        <tr r="G39" s="5"/>
        <tr r="AQ41" s="2"/>
      </tp>
      <tp>
        <v>0</v>
        <stp/>
        <stp>WDOQ24_F_0</stp>
        <stp>ABE</stp>
        <tr r="G52" s="5"/>
        <tr r="AQ54" s="2"/>
      </tp>
      <tp>
        <v>0</v>
        <stp/>
        <stp>WINV24_F_0</stp>
        <stp>FEC</stp>
        <tr r="AT44" s="2"/>
        <tr r="J42" s="5"/>
      </tp>
      <tp>
        <v>0</v>
        <stp/>
        <stp>WDOV24_F_0</stp>
        <stp>FEC</stp>
        <tr r="AT57" s="2"/>
        <tr r="J55" s="5"/>
      </tp>
      <tp>
        <v>0</v>
        <stp/>
        <stp>WINQ24_F_0</stp>
        <stp>AJA</stp>
        <tr r="BI41" s="2"/>
        <tr r="Y39" s="5"/>
      </tp>
      <tp>
        <v>0</v>
        <stp/>
        <stp>WDOQ24_F_0</stp>
        <stp>AJA</stp>
        <tr r="BI54" s="2"/>
        <tr r="Y52" s="5"/>
      </tp>
      <tp>
        <v>0</v>
        <stp/>
        <stp>WINQ24_F_0</stp>
        <stp>AJU</stp>
        <tr r="BH41" s="2"/>
        <tr r="X39" s="5"/>
      </tp>
      <tp>
        <v>0</v>
        <stp/>
        <stp>WDOQ24_F_0</stp>
        <stp>AJU</stp>
        <tr r="BH54" s="2"/>
        <tr r="X52" s="5"/>
      </tp>
      <tp>
        <v>0</v>
        <stp/>
        <stp>WDOQ24_F_0</stp>
        <stp>ANO</stp>
        <tr r="BR54" s="2"/>
        <tr r="AH52" s="5"/>
      </tp>
      <tp>
        <v>0</v>
        <stp/>
        <stp>WINQ24_F_0</stp>
        <stp>ANO</stp>
        <tr r="BR41" s="2"/>
        <tr r="AH39" s="5"/>
      </tp>
      <tp t="s">
        <v>00:00:00</v>
        <stp/>
        <stp>WDOX24_F_0</stp>
        <stp>HOR</stp>
        <tr r="E54" s="5"/>
        <tr r="AO56" s="2"/>
      </tp>
      <tp t="s">
        <v>-</v>
        <stp/>
        <stp>B3SA3_B_0</stp>
        <stp>THETA</stp>
        <tr r="CC21" s="2"/>
        <tr r="AS19" s="5"/>
      </tp>
      <tp t="s">
        <v>NONE</v>
        <stp/>
        <stp>WDOU24_F_0</stp>
        <stp>EST</stp>
        <tr r="AN53" s="5"/>
        <tr r="BX55" s="2"/>
      </tp>
      <tp>
        <v>-0.15000000000000213</v>
        <stp/>
        <stp>CYRE3_B_0</stp>
        <stp>VARPTS</stp>
        <tr r="M26" s="5"/>
        <tr r="AW28" s="2"/>
      </tp>
      <tp>
        <v>32.25</v>
        <stp/>
        <stp>VIVT3_B_0</stp>
        <stp>ABE</stp>
        <tr r="G7" s="5"/>
        <tr r="AQ9" s="2"/>
      </tp>
      <tp>
        <v>0</v>
        <stp/>
        <stp>CRFB3_B_0</stp>
        <stp>QTT</stp>
        <tr r="BB63" s="2"/>
        <tr r="R61" s="5"/>
      </tp>
      <tp t="s">
        <v>Pré-Fechamento</v>
        <stp/>
        <stp>CYRE3_B_0</stp>
        <stp>EST</stp>
        <tr r="BX28" s="2"/>
        <tr r="AN26" s="5"/>
      </tp>
      <tp t="s">
        <v>-</v>
        <stp/>
        <stp>CSAN3_B_0</stp>
        <stp>VEXT</stp>
        <tr r="CK62" s="2"/>
        <tr r="BA60" s="5"/>
      </tp>
      <tp t="s">
        <v>-</v>
        <stp/>
        <stp>BBAS3_B_0</stp>
        <stp>VEN</stp>
        <tr r="BU14" s="2"/>
        <tr r="AK12" s="5"/>
      </tp>
      <tp>
        <v>0</v>
        <stp/>
        <stp>CRFB3_B_0</stp>
        <stp>QTE</stp>
        <tr r="BK63" s="2"/>
        <tr r="AA61" s="5"/>
      </tp>
      <tp t="s">
        <v>-</v>
        <stp/>
        <stp>JBSS3_B_0</stp>
        <stp>DELTA</stp>
        <tr r="CA64" s="2"/>
        <tr r="AQ62" s="5"/>
      </tp>
      <tp t="s">
        <v>-</v>
        <stp/>
        <stp>PCAR3_B_0</stp>
        <stp>VEN</stp>
        <tr r="BU70" s="2"/>
        <tr r="AK68" s="5"/>
      </tp>
      <tp>
        <v>0</v>
        <stp/>
        <stp>CRFB3_B_0</stp>
        <stp>QUL</stp>
        <tr r="BA63" s="2"/>
        <tr r="Q61" s="5"/>
      </tp>
      <tp>
        <v>0</v>
        <stp/>
        <stp>WEGE3_B_0</stp>
        <stp>PRT</stp>
        <tr r="L86" s="2"/>
      </tp>
      <tp t="s">
        <v>-</v>
        <stp/>
        <stp>VAMO3_B_0</stp>
        <stp>IMPVT</stp>
        <tr r="BZ74" s="2"/>
        <tr r="AP72" s="5"/>
      </tp>
      <tp t="s">
        <v>-</v>
        <stp/>
        <stp>VALE3_B_0</stp>
        <stp>IMPVT</stp>
        <tr r="AP10" s="5"/>
        <tr r="BZ12" s="2"/>
      </tp>
      <tp>
        <v>-9.7560975609754019E-2</v>
        <stp/>
        <stp>GOAU4_B_0</stp>
        <stp>VAR</stp>
        <tr r="AV19" s="2"/>
        <tr r="L17" s="5"/>
      </tp>
      <tp t="s">
        <v>31/12/9999</v>
        <stp/>
        <stp>GOAU4_B_0</stp>
        <stp>VAL</stp>
        <tr r="BV19" s="2"/>
        <tr r="AL17" s="5"/>
      </tp>
      <tp t="s">
        <v>-</v>
        <stp/>
        <stp>ITUB4_B_0</stp>
        <stp>VIVH</stp>
        <tr r="CI32" s="2"/>
        <tr r="AY30" s="5"/>
      </tp>
      <tp>
        <v>-1.7432646592710033</v>
        <stp/>
        <stp>GMAT3_B_0</stp>
        <stp>VAR</stp>
        <tr r="AV59" s="2"/>
        <tr r="L57" s="5"/>
      </tp>
      <tp t="s">
        <v>-</v>
        <stp/>
        <stp>BRAP4_B_0</stp>
        <stp>VEN</stp>
        <tr r="BU30" s="2"/>
        <tr r="AK28" s="5"/>
      </tp>
      <tp t="s">
        <v>31/12/9999</v>
        <stp/>
        <stp>GMAT3_B_0</stp>
        <stp>VAL</stp>
        <tr r="BV59" s="2"/>
        <tr r="AL57" s="5"/>
      </tp>
      <tp t="s">
        <v>-</v>
        <stp/>
        <stp>JALL3_B_0</stp>
        <stp>DELTA</stp>
        <tr r="CA69" s="2"/>
        <tr r="AQ67" s="5"/>
      </tp>
      <tp t="s">
        <v>-</v>
        <stp/>
        <stp>CAML3_B_0</stp>
        <stp>THETA</stp>
        <tr r="CC83" s="2"/>
        <tr r="AS81" s="5"/>
      </tp>
      <tp t="s">
        <v>30/12/1899</v>
        <stp/>
        <stp>JBSS3_B_0</stp>
        <stp>DAT</stp>
        <tr r="D62" s="5"/>
        <tr r="AN64" s="2"/>
      </tp>
      <tp>
        <v>-0.86206896551725698</v>
        <stp/>
        <stp>BBAS3_B_0</stp>
        <stp>VAR</stp>
        <tr r="AV14" s="2"/>
        <tr r="L12" s="5"/>
      </tp>
      <tp t="s">
        <v>31/12/9999</v>
        <stp/>
        <stp>BBAS3_B_0</stp>
        <stp>VAL</stp>
        <tr r="BV14" s="2"/>
        <tr r="AL12" s="5"/>
      </tp>
      <tp>
        <v>0</v>
        <stp/>
        <stp>MRFG3_B_0</stp>
        <stp>QUL</stp>
        <tr r="Q66" s="5"/>
        <tr r="BA68" s="2"/>
      </tp>
      <tp>
        <v>18037300</v>
        <stp/>
        <stp>MRFG3_B_0</stp>
        <stp>QTT</stp>
        <tr r="R66" s="5"/>
        <tr r="BB68" s="2"/>
      </tp>
      <tp t="s">
        <v>31/12/9999</v>
        <stp/>
        <stp>PCAR3_B_0</stp>
        <stp>VAL</stp>
        <tr r="BV70" s="2"/>
        <tr r="AL68" s="5"/>
      </tp>
      <tp>
        <v>0</v>
        <stp/>
        <stp>PETR4_B_0</stp>
        <stp>CAB</stp>
        <tr r="BW11" s="2"/>
        <tr r="AM9" s="5"/>
      </tp>
      <tp>
        <v>0</v>
        <stp/>
        <stp>MRFG3_B_0</stp>
        <stp>QTE</stp>
        <tr r="AA66" s="5"/>
        <tr r="BK68" s="2"/>
      </tp>
      <tp>
        <v>0</v>
        <stp/>
        <stp>ARZZ3_B_0</stp>
        <stp>MIN</stp>
        <tr r="AS72" s="2"/>
        <tr r="I70" s="5"/>
      </tp>
      <tp>
        <v>-1.8229166666666741</v>
        <stp/>
        <stp>PCAR3_B_0</stp>
        <stp>VAR</stp>
        <tr r="L68" s="5"/>
        <tr r="AV70" s="2"/>
      </tp>
      <tp>
        <v>-5.2873563218390762</v>
        <stp/>
        <stp>TUPY3_B_0</stp>
        <stp>TRIM</stp>
        <tr r="BS81" s="2"/>
        <tr r="AI79" s="5"/>
      </tp>
      <tp t="s">
        <v>-</v>
        <stp/>
        <stp>GOAU4_B_0</stp>
        <stp>VEN</stp>
        <tr r="BU19" s="2"/>
        <tr r="AK17" s="5"/>
      </tp>
      <tp t="s">
        <v>-</v>
        <stp/>
        <stp>SUZB3_B_0</stp>
        <stp>VINT</stp>
        <tr r="CJ25" s="2"/>
        <tr r="AZ23" s="5"/>
      </tp>
      <tp>
        <v>-0.51993067590987774</v>
        <stp/>
        <stp>BRAP4_B_0</stp>
        <stp>VAR</stp>
        <tr r="AV30" s="2"/>
        <tr r="L28" s="5"/>
      </tp>
      <tp t="s">
        <v>31/12/9999</v>
        <stp/>
        <stp>BRAP4_B_0</stp>
        <stp>VAL</stp>
        <tr r="BV30" s="2"/>
        <tr r="AL28" s="5"/>
      </tp>
      <tp t="s">
        <v>-</v>
        <stp/>
        <stp>GMAT3_B_0</stp>
        <stp>VEN</stp>
        <tr r="BU59" s="2"/>
        <tr r="AK57" s="5"/>
      </tp>
      <tp t="s">
        <v>-</v>
        <stp/>
        <stp>TTEN3_B_0</stp>
        <stp>VEGA</stp>
        <tr r="CE84" s="2"/>
        <tr r="AU82" s="5"/>
      </tp>
      <tp>
        <v>46.52</v>
        <stp/>
        <stp>IRBR3_B_0</stp>
        <stp>ULT</stp>
        <tr r="K45" s="2"/>
      </tp>
      <tp>
        <v>82.65</v>
        <stp/>
        <stp>EMBR3_B_0</stp>
        <stp>ULT</stp>
        <tr r="K34" s="2"/>
        <tr r="F24" s="5"/>
        <tr r="AP26" s="2"/>
      </tp>
      <tp>
        <v>0</v>
        <stp/>
        <stp>VIVT3_B_0</stp>
        <stp>AJA</stp>
        <tr r="BI9" s="2"/>
        <tr r="Y7" s="5"/>
      </tp>
      <tp>
        <v>17.71</v>
        <stp/>
        <stp>GGBR4_B_0</stp>
        <stp>ULT</stp>
        <tr r="K40" s="2"/>
        <tr r="F11" s="5"/>
        <tr r="AP13" s="2"/>
      </tp>
      <tp>
        <v>67462638</v>
        <stp/>
        <stp>CSAN3_B_0</stp>
        <stp>VPJ</stp>
        <tr r="BL62" s="2"/>
        <tr r="AB60" s="5"/>
      </tp>
      <tp t="s">
        <v>-</v>
        <stp/>
        <stp>ABEV3_B_0</stp>
        <stp>RHO</stp>
        <tr r="CD20" s="2"/>
        <tr r="AT18" s="5"/>
      </tp>
      <tp>
        <v>0</v>
        <stp/>
        <stp>VIVT3_B_0</stp>
        <stp>AJU</stp>
        <tr r="BH9" s="2"/>
        <tr r="X7" s="5"/>
      </tp>
      <tp>
        <v>23.52</v>
        <stp/>
        <stp>VBBR3_B_0</stp>
        <stp>ULT</stp>
        <tr r="K84" s="2"/>
      </tp>
      <tp>
        <v>1000</v>
        <stp/>
        <stp>BRAP4_B_0</stp>
        <stp>VOV</stp>
        <tr r="BG30" s="2"/>
        <tr r="W28" s="5"/>
      </tp>
      <tp>
        <v>0</v>
        <stp/>
        <stp>ARZZ3_B_0</stp>
        <stp>MES</stp>
        <tr r="BN72" s="2"/>
        <tr r="AD70" s="5"/>
      </tp>
      <tp>
        <v>17502351</v>
        <stp/>
        <stp>BRAP4_B_0</stp>
        <stp>VOL</stp>
        <tr r="BC30" s="2"/>
        <tr r="S28" s="5"/>
      </tp>
      <tp>
        <v>100</v>
        <stp/>
        <stp>BRAP4_B_0</stp>
        <stp>VOC</stp>
        <tr r="BF30" s="2"/>
        <tr r="V28" s="5"/>
      </tp>
      <tp>
        <v>0</v>
        <stp/>
        <stp>ARZZ3_B_0</stp>
        <stp>MED</stp>
        <tr r="AX72" s="2"/>
        <tr r="N70" s="5"/>
      </tp>
      <tp t="s">
        <v>-</v>
        <stp/>
        <stp>VIVT3_B_0</stp>
        <stp>IMPVT</stp>
        <tr r="BZ9" s="2"/>
        <tr r="AP7" s="5"/>
      </tp>
      <tp>
        <v>0</v>
        <stp/>
        <stp>COGN3_B_0</stp>
        <stp>PRT</stp>
        <tr r="L23" s="2"/>
      </tp>
      <tp t="s">
        <v>Pré-Fechamento</v>
        <stp/>
        <stp>AGRO3_B_0</stp>
        <stp>EST</stp>
        <tr r="BX71" s="2"/>
        <tr r="AN69" s="5"/>
      </tp>
      <tp>
        <v>100</v>
        <stp/>
        <stp>BBAS3_B_0</stp>
        <stp>VOV</stp>
        <tr r="BG14" s="2"/>
        <tr r="W12" s="5"/>
      </tp>
      <tp>
        <v>414365916</v>
        <stp/>
        <stp>BBAS3_B_0</stp>
        <stp>VOL</stp>
        <tr r="BC14" s="2"/>
        <tr r="S12" s="5"/>
      </tp>
      <tp t="s">
        <v>-</v>
        <stp/>
        <stp>GOAU4_B_0</stp>
        <stp>VIB</stp>
        <tr r="CG19" s="2"/>
        <tr r="AW17" s="5"/>
      </tp>
      <tp>
        <v>300</v>
        <stp/>
        <stp>BBAS3_B_0</stp>
        <stp>VOC</stp>
        <tr r="BF14" s="2"/>
        <tr r="V12" s="5"/>
      </tp>
      <tp t="s">
        <v>-</v>
        <stp/>
        <stp>GOAU4_B_0</stp>
        <stp>VIA</stp>
        <tr r="CF19" s="2"/>
        <tr r="AV17" s="5"/>
      </tp>
      <tp>
        <v>71160121</v>
        <stp/>
        <stp>PCAR3_B_0</stp>
        <stp>VOL</stp>
        <tr r="S68" s="5"/>
        <tr r="BC70" s="2"/>
      </tp>
      <tp>
        <v>10000</v>
        <stp/>
        <stp>PCAR3_B_0</stp>
        <stp>VOC</stp>
        <tr r="BF70" s="2"/>
        <tr r="V68" s="5"/>
      </tp>
      <tp>
        <v>11000</v>
        <stp/>
        <stp>PCAR3_B_0</stp>
        <stp>VOV</stp>
        <tr r="BG70" s="2"/>
        <tr r="W68" s="5"/>
      </tp>
      <tp t="s">
        <v>-</v>
        <stp/>
        <stp>GMAT3_B_0</stp>
        <stp>VIA</stp>
        <tr r="CF59" s="2"/>
        <tr r="AV57" s="5"/>
      </tp>
      <tp t="s">
        <v>-</v>
        <stp/>
        <stp>GMAT3_B_0</stp>
        <stp>VIB</stp>
        <tr r="CG59" s="2"/>
        <tr r="AW57" s="5"/>
      </tp>
      <tp t="s">
        <v>-</v>
        <stp/>
        <stp>CIEL3_B_0</stp>
        <stp>THETA</stp>
        <tr r="CC8" s="2"/>
        <tr r="AS6" s="5"/>
      </tp>
      <tp>
        <v>44.528592401618504</v>
        <stp/>
        <stp>VIVT3_B_0</stp>
        <stp>ANO</stp>
        <tr r="BR9" s="2"/>
        <tr r="AH7" s="5"/>
      </tp>
      <tp>
        <v>100</v>
        <stp/>
        <stp>GOAU4_B_0</stp>
        <stp>VOV</stp>
        <tr r="BG19" s="2"/>
        <tr r="W17" s="5"/>
      </tp>
      <tp>
        <v>52952025</v>
        <stp/>
        <stp>GOAU4_B_0</stp>
        <stp>VOL</stp>
        <tr r="BC19" s="2"/>
        <tr r="S17" s="5"/>
      </tp>
      <tp t="s">
        <v>-</v>
        <stp/>
        <stp>BBAS3_B_0</stp>
        <stp>VIA</stp>
        <tr r="CF14" s="2"/>
        <tr r="AV12" s="5"/>
      </tp>
      <tp>
        <v>100</v>
        <stp/>
        <stp>GOAU4_B_0</stp>
        <stp>VOC</stp>
        <tr r="BF19" s="2"/>
        <tr r="V17" s="5"/>
      </tp>
      <tp t="s">
        <v>-</v>
        <stp/>
        <stp>BBAS3_B_0</stp>
        <stp>VIB</stp>
        <tr r="CG14" s="2"/>
        <tr r="AW12" s="5"/>
      </tp>
      <tp>
        <v>0</v>
        <stp/>
        <stp>IBOV_B_0</stp>
        <stp>QTE</stp>
        <tr r="BK6" s="2"/>
        <tr r="AA4" s="5"/>
      </tp>
      <tp>
        <v>712225900</v>
        <stp/>
        <stp>IBOV_B_0</stp>
        <stp>QTT</stp>
        <tr r="BB6" s="2"/>
        <tr r="R4" s="5"/>
      </tp>
      <tp>
        <v>0</v>
        <stp/>
        <stp>ARZZ3_B_0</stp>
        <stp>MAX</stp>
        <tr r="AR72" s="2"/>
        <tr r="H70" s="5"/>
      </tp>
      <tp t="s">
        <v>-</v>
        <stp/>
        <stp>PCAR3_B_0</stp>
        <stp>VIB</stp>
        <tr r="CG70" s="2"/>
        <tr r="AW68" s="5"/>
      </tp>
      <tp t="s">
        <v>-</v>
        <stp/>
        <stp>PCAR3_B_0</stp>
        <stp>VIA</stp>
        <tr r="CF70" s="2"/>
        <tr r="AV68" s="5"/>
      </tp>
      <tp>
        <v>1000</v>
        <stp/>
        <stp>GMAT3_B_0</stp>
        <stp>VOV</stp>
        <tr r="BG59" s="2"/>
        <tr r="W57" s="5"/>
      </tp>
      <tp>
        <v>38345651</v>
        <stp/>
        <stp>GMAT3_B_0</stp>
        <stp>VOL</stp>
        <tr r="BC59" s="2"/>
        <tr r="S57" s="5"/>
      </tp>
      <tp>
        <v>2400</v>
        <stp/>
        <stp>GMAT3_B_0</stp>
        <stp>VOC</stp>
        <tr r="BF59" s="2"/>
        <tr r="V57" s="5"/>
      </tp>
      <tp>
        <v>0</v>
        <stp/>
        <stp>IBOV_B_0</stp>
        <stp>QUL</stp>
        <tr r="BA6" s="2"/>
        <tr r="Q4" s="5"/>
      </tp>
      <tp t="s">
        <v>-</v>
        <stp/>
        <stp>CRFB3_B_0</stp>
        <stp>VIVH</stp>
        <tr r="CI63" s="2"/>
        <tr r="AY61" s="5"/>
      </tp>
      <tp>
        <v>131762011</v>
        <stp/>
        <stp>ASAI3_B_0</stp>
        <stp>VPJ</stp>
        <tr r="BL61" s="2"/>
        <tr r="AB59" s="5"/>
      </tp>
      <tp t="s">
        <v>-</v>
        <stp/>
        <stp>LREN3_B_0</stp>
        <stp>VEXT</stp>
        <tr r="CK34" s="2"/>
        <tr r="BA32" s="5"/>
      </tp>
      <tp t="s">
        <v>-</v>
        <stp/>
        <stp>BRAP4_B_0</stp>
        <stp>VIB</stp>
        <tr r="CG30" s="2"/>
        <tr r="AW28" s="5"/>
      </tp>
      <tp t="s">
        <v>-</v>
        <stp/>
        <stp>BRAP4_B_0</stp>
        <stp>VIA</stp>
        <tr r="CF30" s="2"/>
        <tr r="AV28" s="5"/>
      </tp>
      <tp t="s">
        <v>-</v>
        <stp/>
        <stp>TTEN3_B_0</stp>
        <stp>RHO</stp>
        <tr r="CD84" s="2"/>
        <tr r="AT82" s="5"/>
      </tp>
      <tp t="s">
        <v>-</v>
        <stp/>
        <stp>LREN3_B_0</stp>
        <stp>VEGA</stp>
        <tr r="CE34" s="2"/>
        <tr r="AU32" s="5"/>
      </tp>
      <tp>
        <v>2500</v>
        <stp/>
        <stp>ASAI3_B_0</stp>
        <stp>VOV</stp>
        <tr r="BG61" s="2"/>
        <tr r="W59" s="5"/>
      </tp>
      <tp>
        <v>1.8397626112759566</v>
        <stp/>
        <stp>BBDC4_B_0</stp>
        <stp>SEM</stp>
        <tr r="BM27" s="2"/>
        <tr r="AC25" s="5"/>
      </tp>
      <tp>
        <v>0</v>
        <stp/>
        <stp>BRFS3_B_0</stp>
        <stp>QUL</stp>
        <tr r="BA33" s="2"/>
        <tr r="Q31" s="5"/>
      </tp>
      <tp>
        <v>131762011</v>
        <stp/>
        <stp>ASAI3_B_0</stp>
        <stp>VOL</stp>
        <tr r="BC61" s="2"/>
        <tr r="S59" s="5"/>
      </tp>
      <tp t="s">
        <v>-</v>
        <stp/>
        <stp>LREN3_B_0</stp>
        <stp>RHO</stp>
        <tr r="CD34" s="2"/>
        <tr r="AT32" s="5"/>
      </tp>
      <tp>
        <v>200</v>
        <stp/>
        <stp>ASAI3_B_0</stp>
        <stp>VOC</stp>
        <tr r="BF61" s="2"/>
        <tr r="V59" s="5"/>
      </tp>
      <tp t="s">
        <v>-</v>
        <stp/>
        <stp>CRFB3_B_0</stp>
        <stp>THETA</stp>
        <tr r="CC63" s="2"/>
        <tr r="AS61" s="5"/>
      </tp>
      <tp>
        <v>48.097068084132353</v>
        <stp/>
        <stp>SUZB3_B_0</stp>
        <stp>MED</stp>
        <tr r="AX25" s="2"/>
        <tr r="N23" s="5"/>
      </tp>
      <tp>
        <v>20737500</v>
        <stp/>
        <stp>BRFS3_B_0</stp>
        <stp>QTT</stp>
        <tr r="BB33" s="2"/>
        <tr r="R31" s="5"/>
      </tp>
      <tp>
        <v>6.17</v>
        <stp/>
        <stp>MRVE3_B_0</stp>
        <stp>ABE</stp>
        <tr r="G16" s="5"/>
        <tr r="AQ18" s="2"/>
      </tp>
      <tp t="s">
        <v>-</v>
        <stp/>
        <stp>CSAN3_B_0</stp>
        <stp>VIA</stp>
        <tr r="AV60" s="5"/>
        <tr r="CF62" s="2"/>
      </tp>
      <tp t="s">
        <v>-</v>
        <stp/>
        <stp>CSAN3_B_0</stp>
        <stp>VIB</stp>
        <tr r="CG62" s="2"/>
        <tr r="AW60" s="5"/>
      </tp>
      <tp>
        <v>-3.8276553106212496</v>
        <stp/>
        <stp>SUZB3_B_0</stp>
        <stp>MES</stp>
        <tr r="BN25" s="2"/>
        <tr r="AD23" s="5"/>
      </tp>
      <tp>
        <v>0</v>
        <stp/>
        <stp>BRFS3_B_0</stp>
        <stp>QTE</stp>
        <tr r="AA31" s="5"/>
        <tr r="BK33" s="2"/>
      </tp>
      <tp t="s">
        <v>-</v>
        <stp/>
        <stp>CSNA3_B_0</stp>
        <stp>THETA</stp>
        <tr r="CC10" s="2"/>
        <tr r="AS8" s="5"/>
      </tp>
      <tp t="s">
        <v>-</v>
        <stp/>
        <stp>CSAN3_B_0</stp>
        <stp>THETA</stp>
        <tr r="CC62" s="2"/>
        <tr r="AS60" s="5"/>
      </tp>
      <tp>
        <v>38345651</v>
        <stp/>
        <stp>GMAT3_B_0</stp>
        <stp>VPJ</stp>
        <tr r="BL59" s="2"/>
        <tr r="AB57" s="5"/>
      </tp>
      <tp t="s">
        <v>-</v>
        <stp/>
        <stp>CIEL3_B_0</stp>
        <stp>RHO</stp>
        <tr r="CD8" s="2"/>
        <tr r="AT6" s="5"/>
      </tp>
      <tp>
        <v>3575.46</v>
        <stp/>
        <stp>IFIX_B_0</stp>
        <stp>ULT</stp>
        <tr r="F46" s="5"/>
        <tr r="AP48" s="2"/>
      </tp>
      <tp>
        <v>52952025</v>
        <stp/>
        <stp>GOAU4_B_0</stp>
        <stp>VPJ</stp>
        <tr r="BL19" s="2"/>
        <tr r="AB17" s="5"/>
      </tp>
      <tp t="s">
        <v>-</v>
        <stp/>
        <stp>GFSA3_B_0</stp>
        <stp>BLACK</stp>
        <tr r="BY22" s="2"/>
        <tr r="AO20" s="5"/>
      </tp>
      <tp>
        <v>71160121</v>
        <stp/>
        <stp>PCAR3_B_0</stp>
        <stp>VPJ</stp>
        <tr r="BL70" s="2"/>
        <tr r="AB68" s="5"/>
      </tp>
      <tp>
        <v>48.42</v>
        <stp/>
        <stp>SUZB3_B_0</stp>
        <stp>MAX</stp>
        <tr r="AR25" s="2"/>
        <tr r="H23" s="5"/>
      </tp>
      <tp>
        <v>414365916</v>
        <stp/>
        <stp>BBAS3_B_0</stp>
        <stp>VPJ</stp>
        <tr r="BL14" s="2"/>
        <tr r="AB12" s="5"/>
      </tp>
      <tp t="s">
        <v>14/10/2025</v>
        <stp/>
        <stp>ITSA4_B_0</stp>
        <stp>DAT</stp>
        <tr r="D29" s="5"/>
        <tr r="AN31" s="2"/>
      </tp>
      <tp t="s">
        <v>14/10/2025</v>
        <stp/>
        <stp>HBSA3_B_0</stp>
        <stp>DAT</stp>
        <tr r="D56" s="5"/>
        <tr r="AN58" s="2"/>
      </tp>
      <tp t="s">
        <v>14/10/2025</v>
        <stp/>
        <stp>GFSA3_B_0</stp>
        <stp>DAT</stp>
        <tr r="D20" s="5"/>
        <tr r="AN22" s="2"/>
      </tp>
      <tp t="s">
        <v>14/10/2025</v>
        <stp/>
        <stp>B3SA3_B_0</stp>
        <stp>DAT</stp>
        <tr r="D19" s="5"/>
        <tr r="AN21" s="2"/>
      </tp>
      <tp t="s">
        <v>-</v>
        <stp/>
        <stp>CRFB3_B_0</stp>
        <stp>VINT</stp>
        <tr r="CJ63" s="2"/>
        <tr r="AZ61" s="5"/>
      </tp>
      <tp>
        <v>17502351</v>
        <stp/>
        <stp>BRAP4_B_0</stp>
        <stp>VPJ</stp>
        <tr r="BL30" s="2"/>
        <tr r="AB28" s="5"/>
      </tp>
      <tp t="s">
        <v>-</v>
        <stp/>
        <stp>ASAI3_B_0</stp>
        <stp>VIB</stp>
        <tr r="CG61" s="2"/>
        <tr r="AW59" s="5"/>
      </tp>
      <tp t="s">
        <v>-</v>
        <stp/>
        <stp>ASAI3_B_0</stp>
        <stp>VIA</stp>
        <tr r="CF61" s="2"/>
        <tr r="AV59" s="5"/>
      </tp>
      <tp>
        <v>-11.171805505092891</v>
        <stp/>
        <stp>KEPL3_B_0</stp>
        <stp>SEMES</stp>
        <tr r="BT73" s="2"/>
        <tr r="AJ71" s="5"/>
      </tp>
      <tp>
        <v>100</v>
        <stp/>
        <stp>CSAN3_B_0</stp>
        <stp>VOV</stp>
        <tr r="BG62" s="2"/>
        <tr r="W60" s="5"/>
      </tp>
      <tp>
        <v>67462638</v>
        <stp/>
        <stp>CSAN3_B_0</stp>
        <stp>VOL</stp>
        <tr r="S60" s="5"/>
        <tr r="BC62" s="2"/>
      </tp>
      <tp t="s">
        <v>-</v>
        <stp/>
        <stp>TTEN3_B_0</stp>
        <stp>VEXT</stp>
        <tr r="CK84" s="2"/>
        <tr r="BA82" s="5"/>
      </tp>
      <tp>
        <v>3100</v>
        <stp/>
        <stp>CSAN3_B_0</stp>
        <stp>VOC</stp>
        <tr r="BF62" s="2"/>
        <tr r="V60" s="5"/>
      </tp>
      <tp>
        <v>0</v>
        <stp/>
        <stp>SMTO3_B_0</stp>
        <stp>CAB</stp>
        <tr r="AM64" s="5"/>
        <tr r="BW66" s="2"/>
      </tp>
      <tp t="s">
        <v>-</v>
        <stp/>
        <stp>BEEF3_B_0</stp>
        <stp>RHO</stp>
        <tr r="AT65" s="5"/>
        <tr r="CD67" s="2"/>
      </tp>
      <tp t="s">
        <v>-</v>
        <stp/>
        <stp>GMAT3_B_0</stp>
        <stp>BLACK</stp>
        <tr r="AO57" s="5"/>
        <tr r="BY59" s="2"/>
      </tp>
      <tp>
        <v>0</v>
        <stp/>
        <stp>MRVE3_B_0</stp>
        <stp>AJU</stp>
        <tr r="BH18" s="2"/>
        <tr r="X16" s="5"/>
      </tp>
      <tp>
        <v>0.17035775127767949</v>
        <stp/>
        <stp>CSAN3_B_0</stp>
        <stp>VAR</stp>
        <tr r="AV62" s="2"/>
        <tr r="L60" s="5"/>
      </tp>
      <tp t="s">
        <v>31/12/9999</v>
        <stp/>
        <stp>CSAN3_B_0</stp>
        <stp>VAL</stp>
        <tr r="BV62" s="2"/>
        <tr r="AL60" s="5"/>
      </tp>
      <tp>
        <v>0</v>
        <stp/>
        <stp>MRVE3_B_0</stp>
        <stp>AJA</stp>
        <tr r="BI18" s="2"/>
        <tr r="Y16" s="5"/>
      </tp>
      <tp t="s">
        <v>-</v>
        <stp/>
        <stp>ASAI3_B_0</stp>
        <stp>VEN</stp>
        <tr r="BU61" s="2"/>
        <tr r="AK59" s="5"/>
      </tp>
      <tp t="s">
        <v>-</v>
        <stp/>
        <stp>ITUB4_B_0</stp>
        <stp>VINT</stp>
        <tr r="CJ32" s="2"/>
        <tr r="AZ30" s="5"/>
      </tp>
      <tp t="s">
        <v>14/10/2025</v>
        <stp/>
        <stp>RCSL3_B_0</stp>
        <stp>DAT</stp>
        <tr r="AN65" s="2"/>
        <tr r="D63" s="5"/>
      </tp>
      <tp t="s">
        <v>-</v>
        <stp/>
        <stp>CYRE3_B_0</stp>
        <stp>THETA</stp>
        <tr r="CC28" s="2"/>
        <tr r="AS26" s="5"/>
      </tp>
      <tp>
        <v>47.95</v>
        <stp/>
        <stp>SUZB3_B_0</stp>
        <stp>MIN</stp>
        <tr r="AS25" s="2"/>
        <tr r="I23" s="5"/>
      </tp>
      <tp t="s">
        <v>-</v>
        <stp/>
        <stp>CSAN3_B_0</stp>
        <stp>VEN</stp>
        <tr r="AK60" s="5"/>
        <tr r="BU62" s="2"/>
      </tp>
      <tp>
        <v>17.514124293785304</v>
        <stp/>
        <stp>MRVE3_B_0</stp>
        <stp>ANO</stp>
        <tr r="BR18" s="2"/>
        <tr r="AH16" s="5"/>
      </tp>
      <tp>
        <v>1.7391304347826158</v>
        <stp/>
        <stp>ASAI3_B_0</stp>
        <stp>VAR</stp>
        <tr r="AV61" s="2"/>
        <tr r="L59" s="5"/>
      </tp>
      <tp t="s">
        <v>-</v>
        <stp/>
        <stp>SUZB3_B_0</stp>
        <stp>VIVH</stp>
        <tr r="AY23" s="5"/>
        <tr r="CI25" s="2"/>
      </tp>
      <tp t="s">
        <v>31/12/9999</v>
        <stp/>
        <stp>ASAI3_B_0</stp>
        <stp>VAL</stp>
        <tr r="BV61" s="2"/>
        <tr r="AL59" s="5"/>
      </tp>
      <tp t="s">
        <v>-</v>
        <stp/>
        <stp>CSAN3_B_0</stp>
        <stp>VEGA</stp>
        <tr r="AU60" s="5"/>
        <tr r="CE62" s="2"/>
      </tp>
      <tp t="s">
        <v>31/01/2024</v>
        <stp/>
        <stp>WDOG24_F_0</stp>
        <stp>VAL</stp>
        <tr r="BV53" s="2"/>
        <tr r="AL51" s="5"/>
      </tp>
      <tp t="s">
        <v>14/02/2024</v>
        <stp/>
        <stp>WING24_F_0</stp>
        <stp>VAL</stp>
        <tr r="BV42" s="2"/>
        <tr r="AL40" s="5"/>
      </tp>
      <tp>
        <v>0</v>
        <stp/>
        <stp>WING24_F_0</stp>
        <stp>VAR</stp>
        <tr r="AV42" s="2"/>
        <tr r="L40" s="5"/>
      </tp>
      <tp t="s">
        <v>30/12/1899</v>
        <stp/>
        <stp>WDOU24_F_0</stp>
        <stp>DAT</stp>
        <tr r="AN55" s="2"/>
        <tr r="D53" s="5"/>
      </tp>
      <tp>
        <v>0</v>
        <stp/>
        <stp>WDOG24_F_0</stp>
        <stp>VAR</stp>
        <tr r="AV53" s="2"/>
        <tr r="L51" s="5"/>
      </tp>
      <tp t="s">
        <v>01/02/2024</v>
        <stp/>
        <stp>WDOG24_F_0</stp>
        <stp>VEN</stp>
        <tr r="BU53" s="2"/>
        <tr r="AK51" s="5"/>
      </tp>
      <tp t="s">
        <v>14/02/2024</v>
        <stp/>
        <stp>WING24_F_0</stp>
        <stp>VEN</stp>
        <tr r="BU42" s="2"/>
        <tr r="AK40" s="5"/>
      </tp>
      <tp t="s">
        <v>-</v>
        <stp/>
        <stp>IBOV_B_0</stp>
        <stp>VEGA</stp>
        <tr r="CE6" s="2"/>
        <tr r="AU4" s="5"/>
      </tp>
      <tp t="s">
        <v>-</v>
        <stp/>
        <stp>WING24_F_0</stp>
        <stp>VIA</stp>
        <tr r="CF42" s="2"/>
        <tr r="AV40" s="5"/>
      </tp>
      <tp t="s">
        <v>-</v>
        <stp/>
        <stp>WING24_F_0</stp>
        <stp>VIB</stp>
        <tr r="CG42" s="2"/>
        <tr r="AW40" s="5"/>
      </tp>
      <tp t="s">
        <v>-</v>
        <stp/>
        <stp>WDOG24_F_0</stp>
        <stp>VIA</stp>
        <tr r="CF53" s="2"/>
        <tr r="AV51" s="5"/>
      </tp>
      <tp t="s">
        <v>-</v>
        <stp/>
        <stp>WDOG24_F_0</stp>
        <stp>VIB</stp>
        <tr r="CG53" s="2"/>
        <tr r="AW51" s="5"/>
      </tp>
      <tp>
        <v>0</v>
        <stp/>
        <stp>WDOG24_F_0</stp>
        <stp>VOL</stp>
        <tr r="BC53" s="2"/>
        <tr r="S51" s="5"/>
      </tp>
      <tp>
        <v>0</v>
        <stp/>
        <stp>WING24_F_0</stp>
        <stp>VOC</stp>
        <tr r="BF42" s="2"/>
        <tr r="V40" s="5"/>
      </tp>
      <tp>
        <v>0</v>
        <stp/>
        <stp>WING24_F_0</stp>
        <stp>VOL</stp>
        <tr r="BC42" s="2"/>
        <tr r="S40" s="5"/>
      </tp>
      <tp>
        <v>0</v>
        <stp/>
        <stp>WDOG24_F_0</stp>
        <stp>VOC</stp>
        <tr r="BF53" s="2"/>
        <tr r="V51" s="5"/>
      </tp>
      <tp>
        <v>0</v>
        <stp/>
        <stp>WING24_F_0</stp>
        <stp>VOV</stp>
        <tr r="BG42" s="2"/>
        <tr r="W40" s="5"/>
      </tp>
      <tp>
        <v>0</v>
        <stp/>
        <stp>WDOG24_F_0</stp>
        <stp>VOV</stp>
        <tr r="BG53" s="2"/>
        <tr r="W51" s="5"/>
      </tp>
      <tp>
        <v>0</v>
        <stp/>
        <stp>TAEE11_B_0</stp>
        <stp>PRT</stp>
        <tr r="L76" s="2"/>
      </tp>
      <tp>
        <v>0</v>
        <stp/>
        <stp>WDOG24_F_0</stp>
        <stp>VPJ</stp>
        <tr r="BL53" s="2"/>
        <tr r="AB51" s="5"/>
      </tp>
      <tp>
        <v>0</v>
        <stp/>
        <stp>WING24_F_0</stp>
        <stp>VPJ</stp>
        <tr r="BL42" s="2"/>
        <tr r="AB40" s="5"/>
      </tp>
      <tp t="s">
        <v>-</v>
        <stp/>
        <stp>IBOV_B_0</stp>
        <stp>VEXT</stp>
        <tr r="CK6" s="2"/>
        <tr r="BA4" s="5"/>
      </tp>
      <tp>
        <v>5482.5</v>
        <stp/>
        <stp>WDOFUTV_F_0</stp>
        <stp>ABE</stp>
        <tr r="G45" s="5"/>
        <tr r="AQ47" s="2"/>
      </tp>
      <tp>
        <v>5489.0649999999996</v>
        <stp/>
        <stp>WDOFUTV_F_0</stp>
        <stp>AJA</stp>
        <tr r="BI47" s="2"/>
        <tr r="Y45" s="5"/>
      </tp>
      <tp>
        <v>0</v>
        <stp/>
        <stp>WDOFUTV_F_0</stp>
        <stp>AJU</stp>
        <tr r="X45" s="5"/>
        <tr r="BH47" s="2"/>
      </tp>
      <tp>
        <v>-4.9999999999999822E-2</v>
        <stp/>
        <stp>DXCO3_B_0</stp>
        <stp>VARPTS</stp>
        <tr r="AW75" s="2"/>
        <tr r="M73" s="5"/>
      </tp>
      <tp>
        <v>-16.741660471532864</v>
        <stp/>
        <stp>WDOFUTV_F_0</stp>
        <stp>ANO</stp>
        <tr r="AH45" s="5"/>
        <tr r="BR47" s="2"/>
      </tp>
      <tp t="s">
        <v>-</v>
        <stp/>
        <stp>INDFUT_F_0</stp>
        <stp>VEGA</stp>
        <tr r="CE17" s="2"/>
        <tr r="AU15" s="5"/>
      </tp>
      <tp t="s">
        <v>-</v>
        <stp/>
        <stp>INDFUT_F_0</stp>
        <stp>VEXT</stp>
        <tr r="CK17" s="2"/>
        <tr r="BA15" s="5"/>
      </tp>
      <tp t="s">
        <v>-</v>
        <stp/>
        <stp>MDIA3_B_0</stp>
        <stp>VIVH</stp>
        <tr r="CI78" s="2"/>
        <tr r="AY76" s="5"/>
      </tp>
      <tp t="s">
        <v>-</v>
        <stp/>
        <stp>EMBR3_B_0</stp>
        <stp>VEN</stp>
        <tr r="BU26" s="2"/>
        <tr r="AK24" s="5"/>
      </tp>
      <tp t="s">
        <v>-</v>
        <stp/>
        <stp>GGBR4_B_0</stp>
        <stp>VEN</stp>
        <tr r="BU13" s="2"/>
        <tr r="AK11" s="5"/>
      </tp>
      <tp>
        <v>14.700000000000001</v>
        <stp/>
        <stp>DIRR3_B_0</stp>
        <stp>FEC</stp>
        <tr r="J31" s="2"/>
      </tp>
      <tp t="s">
        <v>-</v>
        <stp/>
        <stp>RAPT4_B_0</stp>
        <stp>IMPVT</stp>
        <tr r="BZ76" s="2"/>
        <tr r="AP74" s="5"/>
      </tp>
      <tp t="s">
        <v>-</v>
        <stp/>
        <stp>RAIZ4_B_0</stp>
        <stp>IMPVT</stp>
        <tr r="BZ77" s="2"/>
        <tr r="AP75" s="5"/>
      </tp>
      <tp t="s">
        <v>-</v>
        <stp/>
        <stp>ITSA4_B_0</stp>
        <stp>VIVH</stp>
        <tr r="CI31" s="2"/>
        <tr r="AY29" s="5"/>
      </tp>
      <tp t="s">
        <v>14/10/2025</v>
        <stp/>
        <stp>RAPT4_B_0</stp>
        <stp>DAT</stp>
        <tr r="D74" s="5"/>
        <tr r="AN76" s="2"/>
      </tp>
      <tp>
        <v>9272900</v>
        <stp/>
        <stp>BEEF3_B_0</stp>
        <stp>QTT</stp>
        <tr r="R65" s="5"/>
        <tr r="BB67" s="2"/>
      </tp>
      <tp t="s">
        <v>-</v>
        <stp/>
        <stp>RANI3_B_0</stp>
        <stp>GAMA</stp>
        <tr r="CB85" s="2"/>
        <tr r="AR83" s="5"/>
        <tr r="CB92" s="2"/>
        <tr r="CB91" s="2"/>
        <tr r="CB90" s="2"/>
        <tr r="CB89" s="2"/>
        <tr r="CB88" s="2"/>
        <tr r="CB87" s="2"/>
        <tr r="CB86" s="2"/>
      </tp>
      <tp>
        <v>0</v>
        <stp/>
        <stp>BEEF3_B_0</stp>
        <stp>QTE</stp>
        <tr r="AA65" s="5"/>
        <tr r="BK67" s="2"/>
      </tp>
      <tp>
        <v>-5.6433408577886916E-2</v>
        <stp/>
        <stp>GGBR4_B_0</stp>
        <stp>VAR</stp>
        <tr r="AV13" s="2"/>
        <tr r="L11" s="5"/>
      </tp>
      <tp>
        <v>4.8857868020304682</v>
        <stp/>
        <stp>EMBR3_B_0</stp>
        <stp>VAR</stp>
        <tr r="AV26" s="2"/>
        <tr r="L24" s="5"/>
      </tp>
      <tp t="s">
        <v>31/12/9999</v>
        <stp/>
        <stp>EMBR3_B_0</stp>
        <stp>VAL</stp>
        <tr r="BV26" s="2"/>
        <tr r="AL24" s="5"/>
      </tp>
      <tp>
        <v>0</v>
        <stp/>
        <stp>BEEF3_B_0</stp>
        <stp>QUL</stp>
        <tr r="Q65" s="5"/>
        <tr r="BA67" s="2"/>
      </tp>
      <tp t="s">
        <v>31/12/9999</v>
        <stp/>
        <stp>GGBR4_B_0</stp>
        <stp>VAL</stp>
        <tr r="BV13" s="2"/>
        <tr r="AL11" s="5"/>
      </tp>
      <tp t="s">
        <v>-</v>
        <stp/>
        <stp>HBSA3_B_0</stp>
        <stp>VIVH</stp>
        <tr r="CI58" s="2"/>
        <tr r="AY56" s="5"/>
      </tp>
      <tp t="s">
        <v>-</v>
        <stp/>
        <stp>GGBR4_B_0</stp>
        <stp>THETA</stp>
        <tr r="CC13" s="2"/>
        <tr r="AS11" s="5"/>
      </tp>
      <tp>
        <v>0</v>
        <stp/>
        <stp>BBDC4_B_0</stp>
        <stp>PRT</stp>
        <tr r="L14" s="2"/>
        <tr r="BJ27" s="2"/>
        <tr r="Z25" s="5"/>
      </tp>
      <tp>
        <v>0</v>
        <stp/>
        <stp>BBDC3_B_0</stp>
        <stp>PRT</stp>
        <tr r="L13" s="2"/>
      </tp>
      <tp>
        <v>-13.725490196078432</v>
        <stp/>
        <stp>RAIZ4_B_0</stp>
        <stp>TRIM</stp>
        <tr r="BS77" s="2"/>
        <tr r="AI75" s="5"/>
      </tp>
      <tp>
        <v>0</v>
        <stp/>
        <stp>RADL3_B_0</stp>
        <stp>PRT</stp>
        <tr r="L66" s="2"/>
      </tp>
      <tp>
        <v>3.77</v>
        <stp/>
        <stp>PCAR3_B_0</stp>
        <stp>ULT</stp>
        <tr r="K60" s="2"/>
        <tr r="F68" s="5"/>
        <tr r="AP70" s="2"/>
      </tp>
      <tp>
        <v>20.7</v>
        <stp/>
        <stp>BBAS3_B_0</stp>
        <stp>ULT</stp>
        <tr r="K16" s="2"/>
        <tr r="F12" s="5"/>
        <tr r="AP14" s="2"/>
      </tp>
      <tp>
        <v>0</v>
        <stp/>
        <stp>ARZZ3_B_0</stp>
        <stp>NEG</stp>
        <tr r="AZ72" s="2"/>
        <tr r="P70" s="5"/>
      </tp>
      <tp>
        <v>17.220000000000002</v>
        <stp/>
        <stp>BRAP4_B_0</stp>
        <stp>ULT</stp>
        <tr r="K15" s="2"/>
        <tr r="AP30" s="2"/>
        <tr r="F28" s="5"/>
      </tp>
      <tp t="s">
        <v>-</v>
        <stp/>
        <stp>GFSA3_B_0</stp>
        <stp>VIVH</stp>
        <tr r="CI22" s="2"/>
        <tr r="AY20" s="5"/>
      </tp>
      <tp>
        <v>30.75</v>
        <stp/>
        <stp>CURY3_B_0</stp>
        <stp>FEC</stp>
        <tr r="J28" s="2"/>
      </tp>
      <tp>
        <v>15.450000000000001</v>
        <stp/>
        <stp>FLRY3_B_0</stp>
        <stp>FEC</stp>
        <tr r="J39" s="2"/>
      </tp>
      <tp>
        <v>1800</v>
        <stp/>
        <stp>EMBR3_B_0</stp>
        <stp>VOV</stp>
        <tr r="BG26" s="2"/>
        <tr r="W24" s="5"/>
      </tp>
      <tp>
        <v>1100</v>
        <stp/>
        <stp>GGBR4_B_0</stp>
        <stp>VOV</stp>
        <tr r="BG13" s="2"/>
        <tr r="W11" s="5"/>
      </tp>
      <tp>
        <v>723845621</v>
        <stp/>
        <stp>EMBR3_B_0</stp>
        <stp>VOL</stp>
        <tr r="BC26" s="2"/>
        <tr r="S24" s="5"/>
      </tp>
      <tp>
        <v>177646834</v>
        <stp/>
        <stp>GGBR4_B_0</stp>
        <stp>VOL</stp>
        <tr r="BC13" s="2"/>
        <tr r="S11" s="5"/>
      </tp>
      <tp>
        <v>5600</v>
        <stp/>
        <stp>GGBR4_B_0</stp>
        <stp>VOC</stp>
        <tr r="BF13" s="2"/>
        <tr r="V11" s="5"/>
      </tp>
      <tp>
        <v>100</v>
        <stp/>
        <stp>EMBR3_B_0</stp>
        <stp>VOC</stp>
        <tr r="BF26" s="2"/>
        <tr r="V24" s="5"/>
      </tp>
      <tp>
        <v>13529000</v>
        <stp/>
        <stp>LREN3_B_0</stp>
        <stp>QTT</stp>
        <tr r="BB34" s="2"/>
        <tr r="R32" s="5"/>
      </tp>
      <tp>
        <v>0</v>
        <stp/>
        <stp>TTEN3_B_0</stp>
        <stp>QTE</stp>
        <tr r="BK84" s="2"/>
        <tr r="AA82" s="5"/>
      </tp>
      <tp>
        <v>15.64</v>
        <stp/>
        <stp>BRAV3_B_0</stp>
        <stp>ULT</stp>
        <tr r="K18" s="2"/>
      </tp>
      <tp>
        <v>0</v>
        <stp/>
        <stp>LREN3_B_0</stp>
        <stp>QTE</stp>
        <tr r="BK34" s="2"/>
        <tr r="AA32" s="5"/>
      </tp>
      <tp>
        <v>1122800</v>
        <stp/>
        <stp>TTEN3_B_0</stp>
        <stp>QTT</stp>
        <tr r="BB84" s="2"/>
        <tr r="R82" s="5"/>
      </tp>
      <tp>
        <v>0</v>
        <stp/>
        <stp>TTEN3_B_0</stp>
        <stp>QUL</stp>
        <tr r="BA84" s="2"/>
        <tr r="Q82" s="5"/>
      </tp>
      <tp t="s">
        <v>-</v>
        <stp/>
        <stp>BRFS3_B_0</stp>
        <stp>RHO</stp>
        <tr r="CD33" s="2"/>
        <tr r="AT31" s="5"/>
      </tp>
      <tp t="s">
        <v>-</v>
        <stp/>
        <stp>GGBR4_B_0</stp>
        <stp>VIB</stp>
        <tr r="CG13" s="2"/>
        <tr r="AW11" s="5"/>
      </tp>
      <tp t="s">
        <v>-</v>
        <stp/>
        <stp>GGBR4_B_0</stp>
        <stp>VIA</stp>
        <tr r="CF13" s="2"/>
        <tr r="AV11" s="5"/>
      </tp>
      <tp>
        <v>0</v>
        <stp/>
        <stp>LREN3_B_0</stp>
        <stp>QUL</stp>
        <tr r="BA34" s="2"/>
        <tr r="Q32" s="5"/>
      </tp>
      <tp t="s">
        <v>-</v>
        <stp/>
        <stp>EMBR3_B_0</stp>
        <stp>VIB</stp>
        <tr r="CG26" s="2"/>
        <tr r="AW24" s="5"/>
      </tp>
      <tp t="s">
        <v>-</v>
        <stp/>
        <stp>EMBR3_B_0</stp>
        <stp>VIA</stp>
        <tr r="CF26" s="2"/>
        <tr r="AV24" s="5"/>
      </tp>
      <tp t="s">
        <v>-</v>
        <stp/>
        <stp>DXCO3_B_0</stp>
        <stp>BLACK</stp>
        <tr r="BY75" s="2"/>
        <tr r="AO73" s="5"/>
      </tp>
      <tp t="s">
        <v>-</v>
        <stp/>
        <stp>GOAU4_B_0</stp>
        <stp>THETA</stp>
        <tr r="CC19" s="2"/>
        <tr r="AS17" s="5"/>
      </tp>
      <tp>
        <v>6.2</v>
        <stp/>
        <stp>GMAT3_B_0</stp>
        <stp>ULT</stp>
        <tr r="F57" s="5"/>
        <tr r="AP59" s="2"/>
      </tp>
      <tp t="s">
        <v>-</v>
        <stp/>
        <stp>CSNA3_B_0</stp>
        <stp>VIVH</stp>
        <tr r="CI10" s="2"/>
        <tr r="AY8" s="5"/>
      </tp>
      <tp>
        <v>0</v>
        <stp/>
        <stp>CIEL3_B_0</stp>
        <stp>QTT</stp>
        <tr r="BB8" s="2"/>
        <tr r="R6" s="5"/>
      </tp>
      <tp t="s">
        <v>14/10/2025</v>
        <stp/>
        <stp>TUPY3_B_0</stp>
        <stp>DAT</stp>
        <tr r="D79" s="5"/>
        <tr r="AN81" s="2"/>
      </tp>
      <tp>
        <v>0</v>
        <stp/>
        <stp>CIEL3_B_0</stp>
        <stp>QTE</stp>
        <tr r="BK8" s="2"/>
        <tr r="AA6" s="5"/>
      </tp>
      <tp>
        <v>255437590.28</v>
        <stp/>
        <stp>IFIX_B_0</stp>
        <stp>VPJ</stp>
        <tr r="BL48" s="2"/>
        <tr r="AB46" s="5"/>
      </tp>
      <tp t="s">
        <v>-</v>
        <stp/>
        <stp>USIM5_B_0</stp>
        <stp>VEGA</stp>
        <tr r="CE29" s="2"/>
        <tr r="AU27" s="5"/>
      </tp>
      <tp>
        <v>10.24</v>
        <stp/>
        <stp>GOAU4_B_0</stp>
        <stp>ULT</stp>
        <tr r="K41" s="2"/>
        <tr r="F17" s="5"/>
        <tr r="AP19" s="2"/>
      </tp>
      <tp>
        <v>0</v>
        <stp/>
        <stp>CIEL3_B_0</stp>
        <stp>QUL</stp>
        <tr r="BA8" s="2"/>
        <tr r="Q6" s="5"/>
      </tp>
      <tp t="s">
        <v>-</v>
        <stp/>
        <stp>B3SA3_B_0</stp>
        <stp>VIVH</stp>
        <tr r="CI21" s="2"/>
        <tr r="AY19" s="5"/>
      </tp>
      <tp>
        <v>0</v>
        <stp/>
        <stp>BBDC4_B_0</stp>
        <stp>PEX</stp>
        <tr r="AU27" s="2"/>
        <tr r="K25" s="5"/>
      </tp>
      <tp t="s">
        <v>-</v>
        <stp/>
        <stp>USIM5_B_0</stp>
        <stp>VEXT</stp>
        <tr r="CK29" s="2"/>
        <tr r="BA27" s="5"/>
      </tp>
      <tp t="s">
        <v>-</v>
        <stp/>
        <stp>IBOV_B_0</stp>
        <stp>RHO</stp>
        <tr r="CD6" s="2"/>
        <tr r="AT4" s="5"/>
      </tp>
      <tp>
        <v>12189</v>
        <stp/>
        <stp>SUZB3_B_0</stp>
        <stp>NEG</stp>
        <tr r="AZ25" s="2"/>
        <tr r="P23" s="5"/>
      </tp>
      <tp>
        <v>0</v>
        <stp/>
        <stp>IFIX_B_0</stp>
        <stp>VOC</stp>
        <tr r="V46" s="5"/>
        <tr r="BF48" s="2"/>
      </tp>
      <tp>
        <v>255437590.28</v>
        <stp/>
        <stp>IFIX_B_0</stp>
        <stp>VOL</stp>
        <tr r="BC48" s="2"/>
        <tr r="S46" s="5"/>
      </tp>
      <tp>
        <v>0</v>
        <stp/>
        <stp>IFIX_B_0</stp>
        <stp>VOV</stp>
        <tr r="W46" s="5"/>
        <tr r="BG48" s="2"/>
      </tp>
      <tp>
        <v>5.2777777777777768</v>
        <stp/>
        <stp>HBSA3_B_0</stp>
        <stp>SEMES</stp>
        <tr r="BT58" s="2"/>
        <tr r="AJ56" s="5"/>
      </tp>
      <tp t="s">
        <v>-</v>
        <stp/>
        <stp>GFSA3_B_0</stp>
        <stp>VINT</stp>
        <tr r="CJ22" s="2"/>
        <tr r="AZ20" s="5"/>
      </tp>
      <tp>
        <v>0</v>
        <stp/>
        <stp>ARZZ3_B_0</stp>
        <stp>TRIM</stp>
        <tr r="BS72" s="2"/>
        <tr r="AI70" s="5"/>
      </tp>
      <tp>
        <v>8.1900000000000013</v>
        <stp/>
        <stp>ASAI3_B_0</stp>
        <stp>ULT</stp>
        <tr r="K8" s="2"/>
        <tr r="F59" s="5"/>
        <tr r="AP61" s="2"/>
      </tp>
      <tp>
        <v>5.88</v>
        <stp/>
        <stp>CSAN3_B_0</stp>
        <stp>ULT</stp>
        <tr r="K25" s="2"/>
        <tr r="F60" s="5"/>
        <tr r="AP62" s="2"/>
      </tp>
      <tp>
        <v>29038700</v>
        <stp/>
        <stp>ABEV3_B_0</stp>
        <stp>QTT</stp>
        <tr r="BB20" s="2"/>
        <tr r="R18" s="5"/>
      </tp>
      <tp>
        <v>177646834</v>
        <stp/>
        <stp>GGBR4_B_0</stp>
        <stp>VPJ</stp>
        <tr r="BL13" s="2"/>
        <tr r="AB11" s="5"/>
      </tp>
      <tp>
        <v>723845621</v>
        <stp/>
        <stp>EMBR3_B_0</stp>
        <stp>VPJ</stp>
        <tr r="BL26" s="2"/>
        <tr r="AB24" s="5"/>
      </tp>
      <tp>
        <v>0</v>
        <stp/>
        <stp>ABEV3_B_0</stp>
        <stp>QTE</stp>
        <tr r="BK20" s="2"/>
        <tr r="AA18" s="5"/>
      </tp>
      <tp>
        <v>15.89</v>
        <stp/>
        <stp>MBRF3_B_0</stp>
        <stp>FEC</stp>
        <tr r="J54" s="2"/>
      </tp>
      <tp>
        <v>0</v>
        <stp/>
        <stp>ABEV3_B_0</stp>
        <stp>QUL</stp>
        <tr r="BA20" s="2"/>
        <tr r="Q18" s="5"/>
      </tp>
      <tp t="s">
        <v>-</v>
        <stp/>
        <stp>CSNA3_B_0</stp>
        <stp>VINT</stp>
        <tr r="CJ10" s="2"/>
        <tr r="AZ8" s="5"/>
      </tp>
      <tp>
        <v>37.19</v>
        <stp/>
        <stp>ITUB4_B_0</stp>
        <stp>ABE</stp>
        <tr r="G30" s="5"/>
        <tr r="AQ32" s="2"/>
      </tp>
      <tp>
        <v>10.74</v>
        <stp/>
        <stp>AURE3_B_0</stp>
        <stp>FEC</stp>
        <tr r="J9" s="2"/>
      </tp>
      <tp>
        <v>28.970000000000002</v>
        <stp/>
        <stp>CYRE3_B_0</stp>
        <stp>FEC</stp>
        <tr r="J30" s="2"/>
        <tr r="AT28" s="2"/>
        <tr r="J26" s="5"/>
      </tp>
      <tp t="s">
        <v>-</v>
        <stp/>
        <stp>ASAI3_B_0</stp>
        <stp>GAMA</stp>
        <tr r="CB61" s="2"/>
        <tr r="AR59" s="5"/>
      </tp>
      <tp t="s">
        <v>-</v>
        <stp/>
        <stp>IFIX_B_0</stp>
        <stp>VIA</stp>
        <tr r="AV46" s="5"/>
        <tr r="CF48" s="2"/>
      </tp>
      <tp t="s">
        <v>-</v>
        <stp/>
        <stp>IFIX_B_0</stp>
        <stp>VIB</stp>
        <tr r="CG48" s="2"/>
        <tr r="AW46" s="5"/>
      </tp>
      <tp t="s">
        <v>-</v>
        <stp/>
        <stp>B3SA3_B_0</stp>
        <stp>VINT</stp>
        <tr r="CJ21" s="2"/>
        <tr r="AZ19" s="5"/>
      </tp>
      <tp t="s">
        <v>-</v>
        <stp/>
        <stp>MDIA3_B_0</stp>
        <stp>VINT</stp>
        <tr r="CJ78" s="2"/>
        <tr r="AZ76" s="5"/>
      </tp>
      <tp>
        <v>15.75</v>
        <stp/>
        <stp>CEAB3_B_0</stp>
        <stp>ULT</stp>
        <tr r="K21" s="2"/>
      </tp>
      <tp t="s">
        <v>-</v>
        <stp/>
        <stp>CMIG4_B_0</stp>
        <stp>BLACK</stp>
        <tr r="BY23" s="2"/>
        <tr r="AO21" s="5"/>
      </tp>
      <tp t="s">
        <v>-</v>
        <stp/>
        <stp>MRFG3_B_0</stp>
        <stp>RHO</stp>
        <tr r="AT66" s="5"/>
        <tr r="CD68" s="2"/>
      </tp>
      <tp>
        <v>43.114273594747779</v>
        <stp/>
        <stp>ITUB4_B_0</stp>
        <stp>ANO</stp>
        <tr r="BR32" s="2"/>
        <tr r="AH30" s="5"/>
      </tp>
      <tp t="s">
        <v>14/10/2025</v>
        <stp/>
        <stp>KEPL3_B_0</stp>
        <stp>DAT</stp>
        <tr r="D71" s="5"/>
        <tr r="AN73" s="2"/>
      </tp>
      <tp t="s">
        <v>-</v>
        <stp/>
        <stp>ITSA4_B_0</stp>
        <stp>VINT</stp>
        <tr r="CJ31" s="2"/>
        <tr r="AZ29" s="5"/>
      </tp>
      <tp t="s">
        <v>01/01/9999</v>
        <stp/>
        <stp>IFIX_B_0</stp>
        <stp>VEN</stp>
        <tr r="BU48" s="2"/>
        <tr r="AK46" s="5"/>
      </tp>
      <tp t="s">
        <v>-</v>
        <stp/>
        <stp>CRFB3_B_0</stp>
        <stp>RHO</stp>
        <tr r="CD63" s="2"/>
        <tr r="AT61" s="5"/>
      </tp>
      <tp>
        <v>20.2</v>
        <stp/>
        <stp>AGRO3_B_0</stp>
        <stp>FEC</stp>
        <tr r="AT71" s="2"/>
        <tr r="J69" s="5"/>
      </tp>
      <tp t="s">
        <v>-</v>
        <stp/>
        <stp>HBSA3_B_0</stp>
        <stp>VINT</stp>
        <tr r="CJ58" s="2"/>
        <tr r="AZ56" s="5"/>
      </tp>
      <tp>
        <v>0</v>
        <stp/>
        <stp>ITUB4_B_0</stp>
        <stp>AJU</stp>
        <tr r="BH32" s="2"/>
        <tr r="X30" s="5"/>
      </tp>
      <tp>
        <v>0</v>
        <stp/>
        <stp>ITUB4_B_0</stp>
        <stp>AJA</stp>
        <tr r="BI32" s="2"/>
        <tr r="Y30" s="5"/>
      </tp>
      <tp>
        <v>23.950000000000003</v>
        <stp/>
        <stp>ISAE4_B_0</stp>
        <stp>ULT</stp>
        <tr r="K46" s="2"/>
      </tp>
      <tp t="s">
        <v>31/12/9999</v>
        <stp/>
        <stp>IFIX_B_0</stp>
        <stp>VAL</stp>
        <tr r="AL46" s="5"/>
        <tr r="BV48" s="2"/>
      </tp>
      <tp>
        <v>0.15406335084986947</v>
        <stp/>
        <stp>IFIX_B_0</stp>
        <stp>VAR</stp>
        <tr r="AV48" s="2"/>
        <tr r="L46" s="5"/>
      </tp>
      <tp>
        <v>0</v>
        <stp/>
        <stp>WINQ24_F_0</stp>
        <stp>CAB</stp>
        <tr r="BW41" s="2"/>
        <tr r="AM39" s="5"/>
      </tp>
      <tp>
        <v>0</v>
        <stp/>
        <stp>WDOQ24_F_0</stp>
        <stp>CAB</stp>
        <tr r="BW54" s="2"/>
        <tr r="AM52" s="5"/>
      </tp>
      <tp t="s">
        <v>30/12/1899</v>
        <stp/>
        <stp>WINV24_F_0</stp>
        <stp>DAT</stp>
        <tr r="D42" s="5"/>
        <tr r="AN44" s="2"/>
      </tp>
      <tp t="s">
        <v>30/12/1899</v>
        <stp/>
        <stp>WDOV24_F_0</stp>
        <stp>DAT</stp>
        <tr r="D55" s="5"/>
        <tr r="AN57" s="2"/>
      </tp>
      <tp t="s">
        <v>00:00:00</v>
        <stp/>
        <stp>WINZ24_F_0</stp>
        <stp>HOR</stp>
        <tr r="E41" s="5"/>
        <tr r="AO43" s="2"/>
      </tp>
      <tp>
        <v>0</v>
        <stp/>
        <stp>WING24_F_0</stp>
        <stp>ULT</stp>
        <tr r="F40" s="5"/>
        <tr r="AP42" s="2"/>
      </tp>
      <tp>
        <v>0</v>
        <stp/>
        <stp>WDOG24_F_0</stp>
        <stp>ULT</stp>
        <tr r="F51" s="5"/>
        <tr r="AP53" s="2"/>
      </tp>
      <tp>
        <v>46.400000000000006</v>
        <stp/>
        <stp>BPAC11_B_0</stp>
        <stp>ULT</stp>
        <tr r="K19" s="2"/>
      </tp>
      <tp t="s">
        <v>-</v>
        <stp/>
        <stp>CYRE3_B_0</stp>
        <stp>DOBRAR</stp>
        <tr r="CH28" s="2"/>
        <tr r="AX26" s="5"/>
      </tp>
      <tp t="s">
        <v>-</v>
        <stp/>
        <stp>DOLFUT_F_0</stp>
        <stp>VINT</stp>
        <tr r="CJ15" s="2"/>
        <tr r="AZ13" s="5"/>
      </tp>
      <tp t="s">
        <v>-</v>
        <stp/>
        <stp>DOLFUT_F_0</stp>
        <stp>VIVH</stp>
        <tr r="AY13" s="5"/>
        <tr r="CI15" s="2"/>
      </tp>
      <tp t="s">
        <v>-</v>
        <stp/>
        <stp>CAML3_B_0</stp>
        <stp>VEXT</stp>
        <tr r="CK83" s="2"/>
        <tr r="BA81" s="5"/>
      </tp>
      <tp t="s">
        <v>-</v>
        <stp/>
        <stp>CIEL3_B_0</stp>
        <stp>VEXT</stp>
        <tr r="CK8" s="2"/>
        <tr r="BA6" s="5"/>
      </tp>
      <tp>
        <v>0</v>
        <stp/>
        <stp>BBDC4_B_0</stp>
        <stp>QUL</stp>
        <tr r="BA27" s="2"/>
        <tr r="Q25" s="5"/>
      </tp>
      <tp>
        <v>0</v>
        <stp/>
        <stp>JBSS3_B_0</stp>
        <stp>FEC</stp>
        <tr r="AT64" s="2"/>
        <tr r="J62" s="5"/>
      </tp>
      <tp>
        <v>0</v>
        <stp/>
        <stp>BRFS3_B_0</stp>
        <stp>SEM</stp>
        <tr r="AC31" s="5"/>
        <tr r="BM33" s="2"/>
      </tp>
      <tp t="s">
        <v>-</v>
        <stp/>
        <stp>ABEV3_B_0</stp>
        <stp>THETA</stp>
        <tr r="AS18" s="5"/>
        <tr r="CC20" s="2"/>
      </tp>
      <tp t="s">
        <v>-</v>
        <stp/>
        <stp>HBSA3_B_0</stp>
        <stp>DELTA</stp>
        <tr r="CA58" s="2"/>
        <tr r="AQ56" s="5"/>
      </tp>
      <tp>
        <v>38374800</v>
        <stp/>
        <stp>BBDC4_B_0</stp>
        <stp>QTT</stp>
        <tr r="BB27" s="2"/>
        <tr r="R25" s="5"/>
      </tp>
      <tp>
        <v>0</v>
        <stp/>
        <stp>BBDC4_B_0</stp>
        <stp>QTE</stp>
        <tr r="BK27" s="2"/>
        <tr r="AA25" s="5"/>
      </tp>
      <tp>
        <v>48.1</v>
        <stp/>
        <stp>SUZB3_B_0</stp>
        <stp>OVD</stp>
        <tr r="BE25" s="2"/>
        <tr r="U23" s="5"/>
      </tp>
      <tp>
        <v>0</v>
        <stp/>
        <stp>BEEF3_B_0</stp>
        <stp>PRT</stp>
        <tr r="L55" s="2"/>
        <tr r="Z65" s="5"/>
        <tr r="BJ67" s="2"/>
      </tp>
      <tp t="s">
        <v>-</v>
        <stp/>
        <stp>ARML3_B_0</stp>
        <stp>VEXT</stp>
        <tr r="CK80" s="2"/>
        <tr r="BA78" s="5"/>
      </tp>
      <tp>
        <v>17491515</v>
        <stp/>
        <stp>SLCE3_B_0</stp>
        <stp>VPJ</stp>
        <tr r="BL79" s="2"/>
        <tr r="AB77" s="5"/>
      </tp>
      <tp>
        <v>123.53</v>
        <stp/>
        <stp>SBSP3_B_0</stp>
        <stp>FEC</stp>
        <tr r="J70" s="2"/>
      </tp>
      <tp>
        <v>0</v>
        <stp/>
        <stp>VIVT3_B_0</stp>
        <stp>CAB</stp>
        <tr r="BW9" s="2"/>
        <tr r="AM7" s="5"/>
      </tp>
      <tp>
        <v>0</v>
        <stp/>
        <stp>ABEV3_B_0</stp>
        <stp>PEX</stp>
        <tr r="AU20" s="2"/>
        <tr r="K18" s="5"/>
      </tp>
      <tp t="s">
        <v>-</v>
        <stp/>
        <stp>AGRO3_B_0</stp>
        <stp>THETA</stp>
        <tr r="CC71" s="2"/>
        <tr r="AS69" s="5"/>
      </tp>
      <tp>
        <v>29.95</v>
        <stp/>
        <stp>PETR4_B_0</stp>
        <stp>ABE</stp>
        <tr r="G9" s="5"/>
        <tr r="AQ11" s="2"/>
      </tp>
      <tp t="s">
        <v>-</v>
        <stp/>
        <stp>BRAP4_B_0</stp>
        <stp>BLACK</stp>
        <tr r="BY30" s="2"/>
        <tr r="AO28" s="5"/>
      </tp>
      <tp t="s">
        <v>-</v>
        <stp/>
        <stp>KEPL3_B_0</stp>
        <stp>VEXT</stp>
        <tr r="CK73" s="2"/>
        <tr r="BA71" s="5"/>
      </tp>
      <tp>
        <v>0</v>
        <stp/>
        <stp>CIEL3_B_0</stp>
        <stp>PRT</stp>
        <tr r="BJ8" s="2"/>
        <tr r="Z6" s="5"/>
      </tp>
      <tp>
        <v>144710</v>
        <stp/>
        <stp>WINFUT_F_0</stp>
        <stp>ULT</stp>
        <tr r="AP36" s="2"/>
        <tr r="F34" s="5"/>
      </tp>
      <tp>
        <v>5489.5</v>
        <stp/>
        <stp>WDOFUT_F_0</stp>
        <stp>ULT</stp>
        <tr r="AP37" s="2"/>
        <tr r="F35" s="5"/>
      </tp>
      <tp t="s">
        <v>-</v>
        <stp/>
        <stp>JALL3_B_0</stp>
        <stp>VEXT</stp>
        <tr r="CK69" s="2"/>
        <tr r="BA67" s="5"/>
      </tp>
      <tp t="s">
        <v>Pré-Fechamento</v>
        <stp/>
        <stp>KEPL3_B_0</stp>
        <stp>EST</stp>
        <tr r="BX73" s="2"/>
        <tr r="AN71" s="5"/>
      </tp>
      <tp>
        <v>10139159</v>
        <stp/>
        <stp>DXCO3_B_0</stp>
        <stp>VPJ</stp>
        <tr r="BL75" s="2"/>
        <tr r="AB73" s="5"/>
      </tp>
      <tp>
        <v>0</v>
        <stp/>
        <stp>LREN3_B_0</stp>
        <stp>PRT</stp>
        <tr r="L51" s="2"/>
        <tr r="BJ34" s="2"/>
        <tr r="Z32" s="5"/>
      </tp>
      <tp>
        <v>-10.96611551864758</v>
        <stp/>
        <stp>PETR4_B_0</stp>
        <stp>ANO</stp>
        <tr r="BR11" s="2"/>
        <tr r="AH9" s="5"/>
      </tp>
      <tp>
        <v>0</v>
        <stp/>
        <stp>TTEN3_B_0</stp>
        <stp>PRT</stp>
        <tr r="BJ84" s="2"/>
        <tr r="Z82" s="5"/>
      </tp>
      <tp>
        <v>0</v>
        <stp/>
        <stp>PETR4_B_0</stp>
        <stp>AJA</stp>
        <tr r="BI11" s="2"/>
        <tr r="Y9" s="5"/>
      </tp>
      <tp t="s">
        <v>-</v>
        <stp/>
        <stp>RCSL3_B_0</stp>
        <stp>VEGA</stp>
        <tr r="CE65" s="2"/>
        <tr r="AU63" s="5"/>
      </tp>
      <tp t="s">
        <v>-</v>
        <stp/>
        <stp>RAIL3_B_0</stp>
        <stp>VEGA</stp>
        <tr r="CE60" s="2"/>
        <tr r="AU58" s="5"/>
      </tp>
      <tp>
        <v>0</v>
        <stp/>
        <stp>PETR4_B_0</stp>
        <stp>AJU</stp>
        <tr r="BH11" s="2"/>
        <tr r="X9" s="5"/>
      </tp>
      <tp>
        <v>0</v>
        <stp/>
        <stp>ARZZ3_B_0</stp>
        <stp>OCP</stp>
        <tr r="BD72" s="2"/>
        <tr r="T70" s="5"/>
      </tp>
      <tp>
        <v>0</v>
        <stp/>
        <stp>ELET3_B_0</stp>
        <stp>PRT</stp>
        <tr r="L32" s="2"/>
      </tp>
      <tp>
        <v>0</v>
        <stp/>
        <stp>ELET6_B_0</stp>
        <stp>PRT</stp>
        <tr r="L33" s="2"/>
      </tp>
      <tp t="s">
        <v>-</v>
        <stp/>
        <stp>DXCO3_B_0</stp>
        <stp>VIB</stp>
        <tr r="CG75" s="2"/>
        <tr r="AW73" s="5"/>
      </tp>
      <tp t="s">
        <v>-</v>
        <stp/>
        <stp>DXCO3_B_0</stp>
        <stp>VIA</stp>
        <tr r="CF75" s="2"/>
        <tr r="AV73" s="5"/>
      </tp>
      <tp t="s">
        <v>-</v>
        <stp/>
        <stp>ARZZ3_B_0</stp>
        <stp>THETA</stp>
        <tr r="CC72" s="2"/>
        <tr r="AS70" s="5"/>
      </tp>
      <tp t="s">
        <v>-</v>
        <stp/>
        <stp>ARML3_B_0</stp>
        <stp>THETA</stp>
        <tr r="CC80" s="2"/>
        <tr r="AS78" s="5"/>
      </tp>
      <tp t="s">
        <v>-</v>
        <stp/>
        <stp>RCSL3_B_0</stp>
        <stp>VEXT</stp>
        <tr r="CK65" s="2"/>
        <tr r="BA63" s="5"/>
      </tp>
      <tp t="s">
        <v>-</v>
        <stp/>
        <stp>RAIL3_B_0</stp>
        <stp>VEXT</stp>
        <tr r="CK60" s="2"/>
        <tr r="BA58" s="5"/>
      </tp>
      <tp>
        <v>0</v>
        <stp/>
        <stp>CRFB3_B_0</stp>
        <stp>SEM</stp>
        <tr r="BM63" s="2"/>
        <tr r="AC61" s="5"/>
      </tp>
      <tp t="s">
        <v>Pré-Fechamento</v>
        <stp/>
        <stp>RAPT4_B_0</stp>
        <stp>EST</stp>
        <tr r="BX76" s="2"/>
        <tr r="AN74" s="5"/>
      </tp>
      <tp t="s">
        <v>-</v>
        <stp/>
        <stp>ASAI3_B_0</stp>
        <stp>THETA</stp>
        <tr r="AS59" s="5"/>
        <tr r="CC61" s="2"/>
      </tp>
      <tp t="s">
        <v>31/12/9999</v>
        <stp/>
        <stp>SLCE3_B_0</stp>
        <stp>VAL</stp>
        <tr r="BV79" s="2"/>
        <tr r="AL77" s="5"/>
      </tp>
      <tp>
        <v>46.67</v>
        <stp/>
        <stp>PSSA3_B_0</stp>
        <stp>FEC</stp>
        <tr r="J65" s="2"/>
      </tp>
      <tp>
        <v>0</v>
        <stp/>
        <stp>ENEV3_B_0</stp>
        <stp>PRT</stp>
        <tr r="L36" s="2"/>
      </tp>
      <tp>
        <v>0</v>
        <stp/>
        <stp>ABEV3_B_0</stp>
        <stp>PRT</stp>
        <tr r="L7" s="2"/>
        <tr r="BJ20" s="2"/>
        <tr r="Z18" s="5"/>
      </tp>
      <tp>
        <v>3.6500000000000004</v>
        <stp/>
        <stp>HBSA3_B_0</stp>
        <stp>FEC</stp>
        <tr r="AT58" s="2"/>
        <tr r="J56" s="5"/>
      </tp>
      <tp>
        <v>0</v>
        <stp/>
        <stp>MRVE3_B_0</stp>
        <stp>CAB</stp>
        <tr r="BW18" s="2"/>
        <tr r="AM16" s="5"/>
      </tp>
      <tp>
        <v>11</v>
        <stp/>
        <stp>ITSA4_B_0</stp>
        <stp>FEC</stp>
        <tr r="J47" s="2"/>
        <tr r="AT31" s="2"/>
        <tr r="J29" s="5"/>
      </tp>
      <tp>
        <v>12.71</v>
        <stp/>
        <stp>B3SA3_B_0</stp>
        <stp>FEC</stp>
        <tr r="J11" s="2"/>
        <tr r="AT21" s="2"/>
        <tr r="J19" s="5"/>
      </tp>
      <tp>
        <v>0.25559105431310497</v>
        <stp/>
        <stp>SLCE3_B_0</stp>
        <stp>VAR</stp>
        <tr r="AV79" s="2"/>
        <tr r="L77" s="5"/>
      </tp>
      <tp>
        <v>6.7</v>
        <stp/>
        <stp>GFSA3_B_0</stp>
        <stp>FEC</stp>
        <tr r="AT22" s="2"/>
        <tr r="J20" s="5"/>
      </tp>
      <tp>
        <v>0</v>
        <stp/>
        <stp>SMTO3_B_0</stp>
        <stp>AJA</stp>
        <tr r="Y64" s="5"/>
        <tr r="BI66" s="2"/>
      </tp>
      <tp>
        <v>0</v>
        <stp/>
        <stp>SMTO3_B_0</stp>
        <stp>AJU</stp>
        <tr r="X64" s="5"/>
        <tr r="BH66" s="2"/>
      </tp>
      <tp>
        <v>0</v>
        <stp/>
        <stp>MRFG3_B_0</stp>
        <stp>SEM</stp>
        <tr r="BM68" s="2"/>
        <tr r="AC66" s="5"/>
      </tp>
      <tp t="s">
        <v>-</v>
        <stp/>
        <stp>TTEN3_B_0</stp>
        <stp>IMPVT</stp>
        <tr r="BZ84" s="2"/>
        <tr r="AP82" s="5"/>
      </tp>
      <tp>
        <v>0</v>
        <stp/>
        <stp>BEEF3_B_0</stp>
        <stp>PEX</stp>
        <tr r="K65" s="5"/>
        <tr r="AU67" s="2"/>
      </tp>
      <tp t="s">
        <v>-</v>
        <stp/>
        <stp>TUPY3_B_0</stp>
        <stp>IMPVT</stp>
        <tr r="BZ81" s="2"/>
        <tr r="AP79" s="5"/>
      </tp>
      <tp t="s">
        <v>-</v>
        <stp/>
        <stp>SLCE3_B_0</stp>
        <stp>VEN</stp>
        <tr r="BU79" s="2"/>
        <tr r="AK77" s="5"/>
      </tp>
      <tp>
        <v>700</v>
        <stp/>
        <stp>DXCO3_B_0</stp>
        <stp>VOV</stp>
        <tr r="BG75" s="2"/>
        <tr r="W73" s="5"/>
      </tp>
      <tp>
        <v>10139159</v>
        <stp/>
        <stp>DXCO3_B_0</stp>
        <stp>VOL</stp>
        <tr r="BC75" s="2"/>
        <tr r="S73" s="5"/>
      </tp>
      <tp t="s">
        <v>-</v>
        <stp/>
        <stp>JALL3_B_0</stp>
        <stp>VEGA</stp>
        <tr r="CE69" s="2"/>
        <tr r="AU67" s="5"/>
      </tp>
      <tp>
        <v>32.450000000000003</v>
        <stp/>
        <stp>BBSE3_B_0</stp>
        <stp>FEC</stp>
        <tr r="J12" s="2"/>
      </tp>
      <tp>
        <v>14.91</v>
        <stp/>
        <stp>CXSE3_B_0</stp>
        <stp>FEC</stp>
        <tr r="J20" s="2"/>
      </tp>
      <tp>
        <v>3100</v>
        <stp/>
        <stp>DXCO3_B_0</stp>
        <stp>VOC</stp>
        <tr r="BF75" s="2"/>
        <tr r="V73" s="5"/>
      </tp>
      <tp t="s">
        <v>-</v>
        <stp/>
        <stp>ECOR3_B_0</stp>
        <stp>BLACK</stp>
        <tr r="BY7" s="2"/>
        <tr r="AO5" s="5"/>
      </tp>
      <tp>
        <v>144740</v>
        <stp/>
        <stp>INDFUT_F_0</stp>
        <stp>ULT</stp>
        <tr r="F15" s="5"/>
      </tp>
      <tp>
        <v>-32.152330095381956</v>
        <stp/>
        <stp>SMTO3_B_0</stp>
        <stp>ANO</stp>
        <tr r="AH64" s="5"/>
        <tr r="BR66" s="2"/>
      </tp>
      <tp t="s">
        <v>-</v>
        <stp/>
        <stp>KEPL3_B_0</stp>
        <stp>VEGA</stp>
        <tr r="CE73" s="2"/>
        <tr r="AU71" s="5"/>
      </tp>
      <tp>
        <v>47.81</v>
        <stp/>
        <stp>SUZB3_B_0</stp>
        <stp>OCP</stp>
        <tr r="BD25" s="2"/>
        <tr r="T23" s="5"/>
      </tp>
      <tp t="s">
        <v>-</v>
        <stp/>
        <stp>BBDC4_B_0</stp>
        <stp>BLACK</stp>
        <tr r="BY27" s="2"/>
        <tr r="AO25" s="5"/>
      </tp>
      <tp>
        <v>-0.99601593625497642</v>
        <stp/>
        <stp>DXCO3_B_0</stp>
        <stp>VAR</stp>
        <tr r="AV75" s="2"/>
        <tr r="L73" s="5"/>
      </tp>
      <tp t="s">
        <v>31/12/9999</v>
        <stp/>
        <stp>DXCO3_B_0</stp>
        <stp>VAL</stp>
        <tr r="BV75" s="2"/>
        <tr r="AL73" s="5"/>
      </tp>
      <tp t="s">
        <v>-</v>
        <stp/>
        <stp>EMBR3_B_0</stp>
        <stp>BLACK</stp>
        <tr r="BY26" s="2"/>
        <tr r="AO24" s="5"/>
      </tp>
      <tp>
        <v>5489.5</v>
        <stp/>
        <stp>DOLFUT_F_0</stp>
        <stp>ULT</stp>
        <tr r="AP15" s="2"/>
        <tr r="F13" s="5"/>
      </tp>
      <tp t="s">
        <v>-</v>
        <stp/>
        <stp>SLCE3_B_0</stp>
        <stp>VIA</stp>
        <tr r="CF79" s="2"/>
        <tr r="AV77" s="5"/>
      </tp>
      <tp t="s">
        <v>-</v>
        <stp/>
        <stp>SLCE3_B_0</stp>
        <stp>VIB</stp>
        <tr r="CG79" s="2"/>
        <tr r="AW77" s="5"/>
      </tp>
      <tp>
        <v>0</v>
        <stp/>
        <stp>ARZZ3_B_0</stp>
        <stp>OVD</stp>
        <tr r="BE72" s="2"/>
        <tr r="U70" s="5"/>
      </tp>
      <tp>
        <v>15.4</v>
        <stp/>
        <stp>SMTO3_B_0</stp>
        <stp>ABE</stp>
        <tr r="AQ66" s="2"/>
        <tr r="G64" s="5"/>
      </tp>
      <tp>
        <v>17491515</v>
        <stp/>
        <stp>SLCE3_B_0</stp>
        <stp>VOL</stp>
        <tr r="BC79" s="2"/>
        <tr r="S77" s="5"/>
      </tp>
      <tp>
        <v>500</v>
        <stp/>
        <stp>SLCE3_B_0</stp>
        <stp>VOC</stp>
        <tr r="BF79" s="2"/>
        <tr r="V77" s="5"/>
      </tp>
      <tp t="s">
        <v>-</v>
        <stp/>
        <stp>DXCO3_B_0</stp>
        <stp>VEN</stp>
        <tr r="BU75" s="2"/>
        <tr r="AK73" s="5"/>
      </tp>
      <tp t="s">
        <v>Pré-Fechamento</v>
        <stp/>
        <stp>TUPY3_B_0</stp>
        <stp>EST</stp>
        <tr r="BX81" s="2"/>
        <tr r="AN79" s="5"/>
      </tp>
      <tp>
        <v>600</v>
        <stp/>
        <stp>SLCE3_B_0</stp>
        <stp>VOV</stp>
        <tr r="BG79" s="2"/>
        <tr r="W77" s="5"/>
      </tp>
      <tp t="s">
        <v>-</v>
        <stp/>
        <stp>ARML3_B_0</stp>
        <stp>VEGA</stp>
        <tr r="CE80" s="2"/>
        <tr r="AU78" s="5"/>
      </tp>
      <tp>
        <v>0</v>
        <stp/>
        <stp>LREN3_B_0</stp>
        <stp>PEX</stp>
        <tr r="AU34" s="2"/>
        <tr r="K32" s="5"/>
      </tp>
      <tp>
        <v>0</v>
        <stp/>
        <stp>TTEN3_B_0</stp>
        <stp>PEX</stp>
        <tr r="AU84" s="2"/>
        <tr r="K82" s="5"/>
      </tp>
      <tp>
        <v>0.71271508158142305</v>
        <stp/>
        <stp>IBOV_B_0</stp>
        <stp>SEM</stp>
        <tr r="BM6" s="2"/>
        <tr r="AC4" s="5"/>
      </tp>
      <tp>
        <v>0</v>
        <stp/>
        <stp>CIEL3_B_0</stp>
        <stp>PEX</stp>
        <tr r="AU8" s="2"/>
        <tr r="K6" s="5"/>
      </tp>
      <tp>
        <v>1.55</v>
        <stp/>
        <stp>RCSL3_B_0</stp>
        <stp>FEC</stp>
        <tr r="AT65" s="2"/>
        <tr r="J63" s="5"/>
      </tp>
      <tp t="s">
        <v>-</v>
        <stp/>
        <stp>CAML3_B_0</stp>
        <stp>VEGA</stp>
        <tr r="CE83" s="2"/>
        <tr r="AU81" s="5"/>
      </tp>
      <tp t="s">
        <v>-</v>
        <stp/>
        <stp>CIEL3_B_0</stp>
        <stp>VEGA</stp>
        <tr r="CE8" s="2"/>
        <tr r="AU6" s="5"/>
      </tp>
      <tp>
        <v>0</v>
        <stp/>
        <stp>WDOU24_F_0</stp>
        <stp>FEC</stp>
        <tr r="AT55" s="2"/>
        <tr r="J53" s="5"/>
      </tp>
      <tp>
        <v>27.450000000000003</v>
        <stp/>
        <stp>SANB11_B_0</stp>
        <stp>ULT</stp>
        <tr r="K71" s="2"/>
      </tp>
      <tp t="s">
        <v>-</v>
        <stp/>
        <stp>IFIX_B_0</stp>
        <stp>GAMA</stp>
        <tr r="AR46" s="5"/>
        <tr r="CB48" s="2"/>
      </tp>
      <tp t="s">
        <v>NONE</v>
        <stp/>
        <stp>WINV24_F_0</stp>
        <stp>EST</stp>
        <tr r="BX44" s="2"/>
        <tr r="AN42" s="5"/>
      </tp>
      <tp t="s">
        <v>NONE</v>
        <stp/>
        <stp>WDOV24_F_0</stp>
        <stp>EST</stp>
        <tr r="BX57" s="2"/>
        <tr r="AN55" s="5"/>
      </tp>
      <tp>
        <v>1117125</v>
        <stp/>
        <stp>WDOFUTV_F_0</stp>
        <stp>CAB</stp>
        <tr r="BW47" s="2"/>
        <tr r="AM45" s="5"/>
      </tp>
      <tp t="s">
        <v>-</v>
        <stp/>
        <stp>DXCO3_B_0</stp>
        <stp>DOBRAR</stp>
        <tr r="CH75" s="2"/>
        <tr r="AX73" s="5"/>
      </tp>
      <tp>
        <v>-9.0149000187695858</v>
        <stp/>
        <stp>SUZB3_B_0</stp>
        <stp>12M</stp>
        <tr r="BQ25" s="2"/>
        <tr r="AG23" s="5"/>
      </tp>
      <tp>
        <v>0</v>
        <stp/>
        <stp>ARZZ3_B_0</stp>
        <stp>12M</stp>
        <tr r="BQ72" s="2"/>
        <tr r="AG70" s="5"/>
      </tp>
      <tp t="s">
        <v>-</v>
        <stp/>
        <stp>IFIX_B_0</stp>
        <stp>BLACK</stp>
        <tr r="AO46" s="5"/>
        <tr r="BY48" s="2"/>
      </tp>
      <tp t="s">
        <v>-</v>
        <stp/>
        <stp>IBOV_B_0</stp>
        <stp>DELTA</stp>
        <tr r="CA6" s="2"/>
        <tr r="AQ4" s="5"/>
      </tp>
      <tp t="s">
        <v>-</v>
        <stp/>
        <stp>WDOK24_F_0</stp>
        <stp>GAMA</stp>
        <tr r="CB39" s="2"/>
        <tr r="AR37" s="5"/>
      </tp>
      <tp t="s">
        <v>-</v>
        <stp/>
        <stp>WDOJ24_F_0</stp>
        <stp>GAMA</stp>
        <tr r="CB51" s="2"/>
        <tr r="AR49" s="5"/>
      </tp>
      <tp t="s">
        <v>-</v>
        <stp/>
        <stp>WDOH24_F_0</stp>
        <stp>GAMA</stp>
        <tr r="CB52" s="2"/>
        <tr r="AR50" s="5"/>
      </tp>
      <tp t="s">
        <v>-</v>
        <stp/>
        <stp>WDON24_F_0</stp>
        <stp>GAMA</stp>
        <tr r="CB50" s="2"/>
        <tr r="AR48" s="5"/>
      </tp>
      <tp t="s">
        <v>-</v>
        <stp/>
        <stp>WDOM24_F_0</stp>
        <stp>GAMA</stp>
        <tr r="CB49" s="2"/>
        <tr r="AR47" s="5"/>
      </tp>
      <tp t="s">
        <v>-</v>
        <stp/>
        <stp>WDOG24_F_0</stp>
        <stp>GAMA</stp>
        <tr r="CB53" s="2"/>
        <tr r="AR51" s="5"/>
      </tp>
      <tp t="s">
        <v>-</v>
        <stp/>
        <stp>WDOX24_F_0</stp>
        <stp>GAMA</stp>
        <tr r="CB56" s="2"/>
        <tr r="AR54" s="5"/>
      </tp>
      <tp t="s">
        <v>-</v>
        <stp/>
        <stp>WDOQ24_F_0</stp>
        <stp>GAMA</stp>
        <tr r="CB54" s="2"/>
        <tr r="AR52" s="5"/>
      </tp>
      <tp t="s">
        <v>-</v>
        <stp/>
        <stp>WDOV24_F_0</stp>
        <stp>GAMA</stp>
        <tr r="CB57" s="2"/>
        <tr r="AR55" s="5"/>
      </tp>
      <tp t="s">
        <v>-</v>
        <stp/>
        <stp>WDOU24_F_0</stp>
        <stp>GAMA</stp>
        <tr r="CB55" s="2"/>
        <tr r="AR53" s="5"/>
      </tp>
      <tp t="s">
        <v>-</v>
        <stp/>
        <stp>WINJ24_F_0</stp>
        <stp>GAMA</stp>
        <tr r="AR36" s="5"/>
        <tr r="CB38" s="2"/>
      </tp>
      <tp t="s">
        <v>-</v>
        <stp/>
        <stp>WINM24_F_0</stp>
        <stp>GAMA</stp>
        <tr r="CB40" s="2"/>
        <tr r="AR38" s="5"/>
      </tp>
      <tp t="s">
        <v>-</v>
        <stp/>
        <stp>WING24_F_0</stp>
        <stp>GAMA</stp>
        <tr r="CB42" s="2"/>
        <tr r="AR40" s="5"/>
      </tp>
      <tp t="s">
        <v>-</v>
        <stp/>
        <stp>WINZ24_F_0</stp>
        <stp>GAMA</stp>
        <tr r="CB43" s="2"/>
        <tr r="AR41" s="5"/>
      </tp>
      <tp t="s">
        <v>-</v>
        <stp/>
        <stp>WINQ24_F_0</stp>
        <stp>GAMA</stp>
        <tr r="CB41" s="2"/>
        <tr r="AR39" s="5"/>
      </tp>
      <tp t="s">
        <v>-</v>
        <stp/>
        <stp>WINV24_F_0</stp>
        <stp>GAMA</stp>
        <tr r="CB44" s="2"/>
        <tr r="AR42" s="5"/>
      </tp>
      <tp>
        <v>2.0369436806558903</v>
        <stp/>
        <stp>IBOV_B_0</stp>
        <stp>SEMES</stp>
        <tr r="BT6" s="2"/>
        <tr r="AJ4" s="5"/>
      </tp>
      <tp>
        <v>0</v>
        <stp/>
        <stp>WDOX24_F_0</stp>
        <stp>12M</stp>
        <tr r="BQ56" s="2"/>
        <tr r="AG54" s="5"/>
      </tp>
      <tp t="s">
        <v>-</v>
        <stp/>
        <stp>IFIX_B_0</stp>
        <stp>THETA</stp>
        <tr r="CC48" s="2"/>
        <tr r="AS46" s="5"/>
      </tp>
      <tp>
        <v>0</v>
        <stp/>
        <stp>WINZ24_F_0</stp>
        <stp>12M</stp>
        <tr r="BQ43" s="2"/>
        <tr r="AG41" s="5"/>
      </tp>
      <tp t="s">
        <v>-</v>
        <stp/>
        <stp>WINZ24_F_0</stp>
        <stp>VEGA</stp>
        <tr r="CE43" s="2"/>
        <tr r="AU41" s="5"/>
      </tp>
      <tp t="s">
        <v>-</v>
        <stp/>
        <stp>WINQ24_F_0</stp>
        <stp>VEGA</stp>
        <tr r="CE41" s="2"/>
        <tr r="AU39" s="5"/>
      </tp>
      <tp t="s">
        <v>-</v>
        <stp/>
        <stp>WINV24_F_0</stp>
        <stp>VEGA</stp>
        <tr r="AU42" s="5"/>
        <tr r="CE44" s="2"/>
      </tp>
      <tp t="s">
        <v>-</v>
        <stp/>
        <stp>WINJ24_F_0</stp>
        <stp>VEGA</stp>
        <tr r="CE38" s="2"/>
        <tr r="AU36" s="5"/>
      </tp>
      <tp t="s">
        <v>-</v>
        <stp/>
        <stp>WINM24_F_0</stp>
        <stp>VEGA</stp>
        <tr r="CE40" s="2"/>
        <tr r="AU38" s="5"/>
      </tp>
      <tp t="s">
        <v>-</v>
        <stp/>
        <stp>WING24_F_0</stp>
        <stp>VEGA</stp>
        <tr r="CE42" s="2"/>
        <tr r="AU40" s="5"/>
      </tp>
      <tp t="s">
        <v>-</v>
        <stp/>
        <stp>WDOX24_F_0</stp>
        <stp>VEGA</stp>
        <tr r="CE56" s="2"/>
        <tr r="AU54" s="5"/>
      </tp>
      <tp t="s">
        <v>-</v>
        <stp/>
        <stp>WDOQ24_F_0</stp>
        <stp>VEGA</stp>
        <tr r="CE54" s="2"/>
        <tr r="AU52" s="5"/>
      </tp>
      <tp t="s">
        <v>-</v>
        <stp/>
        <stp>WDOV24_F_0</stp>
        <stp>VEGA</stp>
        <tr r="CE57" s="2"/>
        <tr r="AU55" s="5"/>
      </tp>
      <tp t="s">
        <v>-</v>
        <stp/>
        <stp>WDOU24_F_0</stp>
        <stp>VEGA</stp>
        <tr r="CE55" s="2"/>
        <tr r="AU53" s="5"/>
      </tp>
      <tp t="s">
        <v>-</v>
        <stp/>
        <stp>WDOJ24_F_0</stp>
        <stp>VEGA</stp>
        <tr r="CE51" s="2"/>
        <tr r="AU49" s="5"/>
      </tp>
      <tp t="s">
        <v>-</v>
        <stp/>
        <stp>WDOK24_F_0</stp>
        <stp>VEGA</stp>
        <tr r="CE39" s="2"/>
        <tr r="AU37" s="5"/>
      </tp>
      <tp t="s">
        <v>-</v>
        <stp/>
        <stp>WDOH24_F_0</stp>
        <stp>VEGA</stp>
        <tr r="CE52" s="2"/>
        <tr r="AU50" s="5"/>
      </tp>
      <tp t="s">
        <v>-</v>
        <stp/>
        <stp>WDON24_F_0</stp>
        <stp>VEGA</stp>
        <tr r="CE50" s="2"/>
        <tr r="AU48" s="5"/>
      </tp>
      <tp t="s">
        <v>-</v>
        <stp/>
        <stp>WDOM24_F_0</stp>
        <stp>VEGA</stp>
        <tr r="CE49" s="2"/>
        <tr r="AU47" s="5"/>
      </tp>
      <tp t="s">
        <v>-</v>
        <stp/>
        <stp>WDOG24_F_0</stp>
        <stp>VEGA</stp>
        <tr r="CE53" s="2"/>
        <tr r="AU51" s="5"/>
      </tp>
      <tp t="s">
        <v>-</v>
        <stp/>
        <stp>WDOX24_F_0</stp>
        <stp>VEXT</stp>
        <tr r="CK56" s="2"/>
        <tr r="BA54" s="5"/>
      </tp>
      <tp t="s">
        <v>-</v>
        <stp/>
        <stp>WDOQ24_F_0</stp>
        <stp>VEXT</stp>
        <tr r="CK54" s="2"/>
        <tr r="BA52" s="5"/>
      </tp>
      <tp t="s">
        <v>-</v>
        <stp/>
        <stp>WDOV24_F_0</stp>
        <stp>VEXT</stp>
        <tr r="CK57" s="2"/>
        <tr r="BA55" s="5"/>
      </tp>
      <tp t="s">
        <v>-</v>
        <stp/>
        <stp>WDOU24_F_0</stp>
        <stp>VEXT</stp>
        <tr r="CK55" s="2"/>
        <tr r="BA53" s="5"/>
      </tp>
      <tp t="s">
        <v>-</v>
        <stp/>
        <stp>WDOJ24_F_0</stp>
        <stp>VEXT</stp>
        <tr r="CK51" s="2"/>
        <tr r="BA49" s="5"/>
      </tp>
      <tp t="s">
        <v>-</v>
        <stp/>
        <stp>WDOK24_F_0</stp>
        <stp>VEXT</stp>
        <tr r="BA37" s="5"/>
        <tr r="CK39" s="2"/>
      </tp>
      <tp t="s">
        <v>-</v>
        <stp/>
        <stp>WDOH24_F_0</stp>
        <stp>VEXT</stp>
        <tr r="CK52" s="2"/>
        <tr r="BA50" s="5"/>
      </tp>
      <tp t="s">
        <v>-</v>
        <stp/>
        <stp>WDON24_F_0</stp>
        <stp>VEXT</stp>
        <tr r="CK50" s="2"/>
        <tr r="BA48" s="5"/>
      </tp>
      <tp t="s">
        <v>-</v>
        <stp/>
        <stp>WDOM24_F_0</stp>
        <stp>VEXT</stp>
        <tr r="CK49" s="2"/>
        <tr r="BA47" s="5"/>
      </tp>
      <tp t="s">
        <v>-</v>
        <stp/>
        <stp>WDOG24_F_0</stp>
        <stp>VEXT</stp>
        <tr r="CK53" s="2"/>
        <tr r="BA51" s="5"/>
      </tp>
      <tp t="s">
        <v>-</v>
        <stp/>
        <stp>WINZ24_F_0</stp>
        <stp>VEXT</stp>
        <tr r="CK43" s="2"/>
        <tr r="BA41" s="5"/>
      </tp>
      <tp t="s">
        <v>-</v>
        <stp/>
        <stp>WINQ24_F_0</stp>
        <stp>VEXT</stp>
        <tr r="CK41" s="2"/>
        <tr r="BA39" s="5"/>
      </tp>
      <tp t="s">
        <v>-</v>
        <stp/>
        <stp>WINV24_F_0</stp>
        <stp>VEXT</stp>
        <tr r="BA42" s="5"/>
        <tr r="CK44" s="2"/>
      </tp>
      <tp t="s">
        <v>-</v>
        <stp/>
        <stp>WINJ24_F_0</stp>
        <stp>VEXT</stp>
        <tr r="CK38" s="2"/>
        <tr r="BA36" s="5"/>
      </tp>
      <tp t="s">
        <v>-</v>
        <stp/>
        <stp>WINM24_F_0</stp>
        <stp>VEXT</stp>
        <tr r="CK40" s="2"/>
        <tr r="BA38" s="5"/>
      </tp>
      <tp t="s">
        <v>-</v>
        <stp/>
        <stp>WING24_F_0</stp>
        <stp>VEXT</stp>
        <tr r="CK42" s="2"/>
        <tr r="BA40" s="5"/>
      </tp>
      <tp>
        <v>1</v>
        <stp/>
        <stp>DOLPRO_#_0</stp>
        <stp>QUL</stp>
        <tr r="Q44" s="5"/>
        <tr r="BA46" s="2"/>
      </tp>
      <tp>
        <v>313890</v>
        <stp/>
        <stp>DOLPRO_#_0</stp>
        <stp>QTT</stp>
        <tr r="R44" s="5"/>
        <tr r="BB46" s="2"/>
      </tp>
      <tp>
        <v>0</v>
        <stp/>
        <stp>DOLPRO_#_0</stp>
        <stp>QTE</stp>
        <tr r="AA44" s="5"/>
        <tr r="BK46" s="2"/>
      </tp>
      <tp t="s">
        <v>-</v>
        <stp/>
        <stp>DOLPT_E_0</stp>
        <stp>IMPVT</stp>
        <tr r="BZ16" s="2"/>
        <tr r="AP14" s="5"/>
      </tp>
      <tp>
        <v>0</v>
        <stp/>
        <stp>WDOU24_F_0</stp>
        <stp>12M</stp>
        <tr r="AG53" s="5"/>
        <tr r="BQ55" s="2"/>
      </tp>
      <tp>
        <v>-82.473684210526315</v>
        <stp/>
        <stp>GFSA3_B_0</stp>
        <stp>12M</stp>
        <tr r="BQ22" s="2"/>
        <tr r="AG20" s="5"/>
      </tp>
      <tp>
        <v>19.679963380792088</v>
        <stp/>
        <stp>B3SA3_B_0</stp>
        <stp>12M</stp>
        <tr r="BQ21" s="2"/>
        <tr r="AG19" s="5"/>
      </tp>
      <tp>
        <v>22.048553375457253</v>
        <stp/>
        <stp>ITSA4_B_0</stp>
        <stp>12M</stp>
        <tr r="BQ31" s="2"/>
        <tr r="AG29" s="5"/>
      </tp>
      <tp>
        <v>23.78743835124277</v>
        <stp/>
        <stp>HBSA3_B_0</stp>
        <stp>12M</stp>
        <tr r="BQ58" s="2"/>
        <tr r="AG56" s="5"/>
      </tp>
      <tp>
        <v>-67.549668874172198</v>
        <stp/>
        <stp>RCSL3_B_0</stp>
        <stp>12M</stp>
        <tr r="BQ65" s="2"/>
        <tr r="AG63" s="5"/>
      </tp>
      <tp>
        <v>0</v>
        <stp/>
        <stp>JBSS3_B_0</stp>
        <stp>12M</stp>
        <tr r="BQ64" s="2"/>
        <tr r="AG62" s="5"/>
      </tp>
      <tp>
        <v>0</v>
        <stp/>
        <stp>DOLPRO_#_0</stp>
        <stp>PRT</stp>
        <tr r="Z44" s="5"/>
        <tr r="BJ46" s="2"/>
      </tp>
      <tp>
        <v>0</v>
        <stp/>
        <stp>DOLPRO_#_0</stp>
        <stp>PEX</stp>
        <tr r="K44" s="5"/>
        <tr r="AU46" s="2"/>
      </tp>
      <tp>
        <v>40.559310956993329</v>
        <stp/>
        <stp>CYRE3_B_0</stp>
        <stp>12M</stp>
        <tr r="BQ28" s="2"/>
        <tr r="AG26" s="5"/>
      </tp>
      <tp>
        <v>-13.155591201721373</v>
        <stp/>
        <stp>AGRO3_B_0</stp>
        <stp>12M</stp>
        <tr r="BQ71" s="2"/>
        <tr r="AG69" s="5"/>
      </tp>
      <tp>
        <v>-1.259106034715352</v>
        <stp/>
        <stp>DOLPRO_#_0</stp>
        <stp>SEM</stp>
        <tr r="AC44" s="5"/>
        <tr r="BM46" s="2"/>
      </tp>
      <tp>
        <v>0</v>
        <stp/>
        <stp>WDOV24_F_0</stp>
        <stp>12M</stp>
        <tr r="BQ57" s="2"/>
        <tr r="AG55" s="5"/>
      </tp>
      <tp>
        <v>0</v>
        <stp/>
        <stp>WINV24_F_0</stp>
        <stp>12M</stp>
        <tr r="BQ44" s="2"/>
        <tr r="AG42" s="5"/>
      </tp>
      <tp t="s">
        <v>-</v>
        <stp/>
        <stp>DOLPRO_#_0</stp>
        <stp>RHO</stp>
        <tr r="AT44" s="5"/>
        <tr r="CD46" s="2"/>
      </tp>
      <tp>
        <v>-17.673014398513693</v>
        <stp/>
        <stp>KEPL3_B_0</stp>
        <stp>12M</stp>
        <tr r="BQ73" s="2"/>
        <tr r="AG71" s="5"/>
      </tp>
      <tp>
        <v>-49.547934231106709</v>
        <stp/>
        <stp>RAPT4_B_0</stp>
        <stp>12M</stp>
        <tr r="BQ76" s="2"/>
        <tr r="AG74" s="5"/>
      </tp>
      <tp>
        <v>-46.486093311627585</v>
        <stp/>
        <stp>TUPY3_B_0</stp>
        <stp>12M</stp>
        <tr r="BQ81" s="2"/>
        <tr r="AG79" s="5"/>
      </tp>
      <tp t="s">
        <v>-</v>
        <stp/>
        <stp>WDOX24_F_0</stp>
        <stp>VINT</stp>
        <tr r="CJ56" s="2"/>
        <tr r="AZ54" s="5"/>
      </tp>
      <tp t="s">
        <v>-</v>
        <stp/>
        <stp>WDOQ24_F_0</stp>
        <stp>VINT</stp>
        <tr r="AZ52" s="5"/>
        <tr r="CJ54" s="2"/>
      </tp>
      <tp t="s">
        <v>-</v>
        <stp/>
        <stp>WDOV24_F_0</stp>
        <stp>VINT</stp>
        <tr r="CJ57" s="2"/>
        <tr r="AZ55" s="5"/>
      </tp>
      <tp t="s">
        <v>-</v>
        <stp/>
        <stp>WDOU24_F_0</stp>
        <stp>VINT</stp>
        <tr r="CJ55" s="2"/>
        <tr r="AZ53" s="5"/>
      </tp>
      <tp t="s">
        <v>-</v>
        <stp/>
        <stp>WDOJ24_F_0</stp>
        <stp>VINT</stp>
        <tr r="CJ51" s="2"/>
        <tr r="AZ49" s="5"/>
      </tp>
      <tp t="s">
        <v>-</v>
        <stp/>
        <stp>WDOK24_F_0</stp>
        <stp>VINT</stp>
        <tr r="CJ39" s="2"/>
        <tr r="AZ37" s="5"/>
      </tp>
      <tp t="s">
        <v>-</v>
        <stp/>
        <stp>WDOH24_F_0</stp>
        <stp>VINT</stp>
        <tr r="CJ52" s="2"/>
        <tr r="AZ50" s="5"/>
      </tp>
      <tp t="s">
        <v>-</v>
        <stp/>
        <stp>WDON24_F_0</stp>
        <stp>VINT</stp>
        <tr r="CJ50" s="2"/>
        <tr r="AZ48" s="5"/>
      </tp>
      <tp t="s">
        <v>-</v>
        <stp/>
        <stp>WDOM24_F_0</stp>
        <stp>VINT</stp>
        <tr r="CJ49" s="2"/>
        <tr r="AZ47" s="5"/>
      </tp>
      <tp t="s">
        <v>-</v>
        <stp/>
        <stp>WDOG24_F_0</stp>
        <stp>VINT</stp>
        <tr r="CJ53" s="2"/>
        <tr r="AZ51" s="5"/>
      </tp>
      <tp t="s">
        <v>-</v>
        <stp/>
        <stp>WINZ24_F_0</stp>
        <stp>VINT</stp>
        <tr r="CJ43" s="2"/>
        <tr r="AZ41" s="5"/>
      </tp>
      <tp t="s">
        <v>-</v>
        <stp/>
        <stp>WINQ24_F_0</stp>
        <stp>VINT</stp>
        <tr r="CJ41" s="2"/>
        <tr r="AZ39" s="5"/>
      </tp>
      <tp t="s">
        <v>-</v>
        <stp/>
        <stp>WINV24_F_0</stp>
        <stp>VINT</stp>
        <tr r="CJ44" s="2"/>
        <tr r="AZ42" s="5"/>
      </tp>
      <tp t="s">
        <v>-</v>
        <stp/>
        <stp>WINJ24_F_0</stp>
        <stp>VINT</stp>
        <tr r="CJ38" s="2"/>
        <tr r="AZ36" s="5"/>
      </tp>
      <tp t="s">
        <v>-</v>
        <stp/>
        <stp>WINM24_F_0</stp>
        <stp>VINT</stp>
        <tr r="CJ40" s="2"/>
        <tr r="AZ38" s="5"/>
      </tp>
      <tp t="s">
        <v>-</v>
        <stp/>
        <stp>WING24_F_0</stp>
        <stp>VINT</stp>
        <tr r="CJ42" s="2"/>
        <tr r="AZ40" s="5"/>
      </tp>
      <tp t="s">
        <v>-</v>
        <stp/>
        <stp>WINZ24_F_0</stp>
        <stp>VIVH</stp>
        <tr r="CI43" s="2"/>
        <tr r="AY41" s="5"/>
      </tp>
      <tp t="s">
        <v>-</v>
        <stp/>
        <stp>WINQ24_F_0</stp>
        <stp>VIVH</stp>
        <tr r="CI41" s="2"/>
        <tr r="AY39" s="5"/>
      </tp>
      <tp t="s">
        <v>-</v>
        <stp/>
        <stp>WINV24_F_0</stp>
        <stp>VIVH</stp>
        <tr r="AY42" s="5"/>
        <tr r="CI44" s="2"/>
      </tp>
      <tp t="s">
        <v>-</v>
        <stp/>
        <stp>WINJ24_F_0</stp>
        <stp>VIVH</stp>
        <tr r="CI38" s="2"/>
        <tr r="AY36" s="5"/>
      </tp>
      <tp t="s">
        <v>-</v>
        <stp/>
        <stp>WINM24_F_0</stp>
        <stp>VIVH</stp>
        <tr r="CI40" s="2"/>
        <tr r="AY38" s="5"/>
      </tp>
      <tp t="s">
        <v>-</v>
        <stp/>
        <stp>WING24_F_0</stp>
        <stp>VIVH</stp>
        <tr r="CI42" s="2"/>
        <tr r="AY40" s="5"/>
      </tp>
      <tp t="s">
        <v>-</v>
        <stp/>
        <stp>WDOX24_F_0</stp>
        <stp>VIVH</stp>
        <tr r="CI56" s="2"/>
        <tr r="AY54" s="5"/>
      </tp>
      <tp t="s">
        <v>-</v>
        <stp/>
        <stp>WDOQ24_F_0</stp>
        <stp>VIVH</stp>
        <tr r="AY52" s="5"/>
        <tr r="CI54" s="2"/>
      </tp>
      <tp t="s">
        <v>-</v>
        <stp/>
        <stp>WDOV24_F_0</stp>
        <stp>VIVH</stp>
        <tr r="CI57" s="2"/>
        <tr r="AY55" s="5"/>
      </tp>
      <tp t="s">
        <v>-</v>
        <stp/>
        <stp>WDOU24_F_0</stp>
        <stp>VIVH</stp>
        <tr r="CI55" s="2"/>
        <tr r="AY53" s="5"/>
      </tp>
      <tp t="s">
        <v>-</v>
        <stp/>
        <stp>WDOJ24_F_0</stp>
        <stp>VIVH</stp>
        <tr r="CI51" s="2"/>
        <tr r="AY49" s="5"/>
      </tp>
      <tp t="s">
        <v>-</v>
        <stp/>
        <stp>WDOK24_F_0</stp>
        <stp>VIVH</stp>
        <tr r="CI39" s="2"/>
        <tr r="AY37" s="5"/>
      </tp>
      <tp t="s">
        <v>-</v>
        <stp/>
        <stp>WDOH24_F_0</stp>
        <stp>VIVH</stp>
        <tr r="CI52" s="2"/>
        <tr r="AY50" s="5"/>
      </tp>
      <tp t="s">
        <v>-</v>
        <stp/>
        <stp>WDON24_F_0</stp>
        <stp>VIVH</stp>
        <tr r="CI50" s="2"/>
        <tr r="AY48" s="5"/>
      </tp>
      <tp t="s">
        <v>-</v>
        <stp/>
        <stp>WDOM24_F_0</stp>
        <stp>VIVH</stp>
        <tr r="CI49" s="2"/>
        <tr r="AY47" s="5"/>
      </tp>
      <tp t="s">
        <v>-</v>
        <stp/>
        <stp>WDOG24_F_0</stp>
        <stp>VIVH</stp>
        <tr r="CI53" s="2"/>
        <tr r="AY51" s="5"/>
      </tp>
      <tp t="s">
        <v>-</v>
        <stp/>
        <stp>IBOV_B_0</stp>
        <stp>THETA</stp>
        <tr r="CC6" s="2"/>
        <tr r="AS4" s="5"/>
      </tp>
      <tp>
        <v>0</v>
        <stp/>
        <stp>WDOQ24_F_0</stp>
        <stp>12M</stp>
        <tr r="BQ54" s="2"/>
        <tr r="AG52" s="5"/>
      </tp>
      <tp>
        <v>0</v>
        <stp/>
        <stp>WINQ24_F_0</stp>
        <stp>12M</stp>
        <tr r="BQ41" s="2"/>
        <tr r="AG39" s="5"/>
      </tp>
      <tp>
        <v>5489.5</v>
        <stp/>
        <stp>DOLPRO_#_0</stp>
        <stp>ULT</stp>
        <tr r="AP46" s="2"/>
        <tr r="F44" s="5"/>
      </tp>
      <tp t="s">
        <v>-</v>
        <stp/>
        <stp>IFIX_B_0</stp>
        <stp>DELTA</stp>
        <tr r="AQ46" s="5"/>
        <tr r="CA48" s="2"/>
      </tp>
      <tp>
        <v>-9.1193689532407944</v>
        <stp/>
        <stp>WDOFUTV_F_0</stp>
        <stp>12M</stp>
        <tr r="BQ47" s="2"/>
        <tr r="AG45" s="5"/>
      </tp>
      <tp>
        <v>-15.217391304347828</v>
        <stp/>
        <stp>MRVE3_B_0</stp>
        <stp>12M</stp>
        <tr r="BQ18" s="2"/>
        <tr r="AG16" s="5"/>
      </tp>
      <tp>
        <v>30.022307946299843</v>
        <stp/>
        <stp>VIVT3_B_0</stp>
        <stp>12M</stp>
        <tr r="BQ9" s="2"/>
        <tr r="AG7" s="5"/>
      </tp>
      <tp>
        <v>2.6319188695005713</v>
        <stp/>
        <stp>IFIX_B_0</stp>
        <stp>SEMES</stp>
        <tr r="BT48" s="2"/>
        <tr r="AJ46" s="5"/>
      </tp>
      <tp>
        <v>28.139327995620334</v>
        <stp/>
        <stp>ITUB4_B_0</stp>
        <stp>12M</stp>
        <tr r="BQ32" s="2"/>
        <tr r="AG30" s="5"/>
      </tp>
      <tp>
        <v>0</v>
        <stp/>
        <stp>INDM24_F_0</stp>
        <stp>TRIM</stp>
        <tr r="AI43" s="5"/>
        <tr r="BS45" s="2"/>
      </tp>
      <tp>
        <v>441161621529.87927</v>
        <stp/>
        <stp>DOLPRO_#_0</stp>
        <stp>VPJ</stp>
        <tr r="AB44" s="5"/>
        <tr r="BL46" s="2"/>
      </tp>
      <tp>
        <v>-0.19998181983456051</v>
        <stp/>
        <stp>DOLPRO_#_0</stp>
        <stp>VAR</stp>
        <tr r="AV46" s="2"/>
        <tr r="L44" s="5"/>
      </tp>
      <tp t="s">
        <v>30/12/1899</v>
        <stp/>
        <stp>DOLPRO_#_0</stp>
        <stp>VAL</stp>
        <tr r="AL44" s="5"/>
        <tr r="BV46" s="2"/>
      </tp>
      <tp t="s">
        <v>15/11/2025</v>
        <stp/>
        <stp>DOLPRO_#_0</stp>
        <stp>VEN</stp>
        <tr r="AK44" s="5"/>
        <tr r="BU46" s="2"/>
      </tp>
      <tp t="s">
        <v>-</v>
        <stp/>
        <stp>DOLPRO_#_0</stp>
        <stp>VIA</stp>
        <tr r="AV44" s="5"/>
        <tr r="CF46" s="2"/>
      </tp>
      <tp t="s">
        <v>-</v>
        <stp/>
        <stp>DOLPRO_#_0</stp>
        <stp>VIB</stp>
        <tr r="CG46" s="2"/>
        <tr r="AW44" s="5"/>
      </tp>
      <tp>
        <v>105</v>
        <stp/>
        <stp>DOLPRO_#_0</stp>
        <stp>VOV</stp>
        <tr r="W44" s="5"/>
        <tr r="BG46" s="2"/>
      </tp>
      <tp>
        <v>17220357880</v>
        <stp/>
        <stp>DOLPRO_#_0</stp>
        <stp>VOL</stp>
        <tr r="S44" s="5"/>
        <tr r="BC46" s="2"/>
      </tp>
      <tp>
        <v>607</v>
        <stp/>
        <stp>DOLPRO_#_0</stp>
        <stp>VOC</stp>
        <tr r="V44" s="5"/>
        <tr r="BF46" s="2"/>
      </tp>
      <tp>
        <v>-39.332301917020715</v>
        <stp/>
        <stp>SMTO3_B_0</stp>
        <stp>12M</stp>
        <tr r="AG64" s="5"/>
        <tr r="BQ66" s="2"/>
      </tp>
      <tp>
        <v>-7.8793532529144281</v>
        <stp/>
        <stp>PETR4_B_0</stp>
        <stp>12M</stp>
        <tr r="BQ11" s="2"/>
        <tr r="AG9" s="5"/>
      </tp>
      <tp>
        <v>-3.2705099778270506</v>
        <stp/>
        <stp>KLBN11_B_0</stp>
        <stp>TRIM</stp>
        <tr r="BS82" s="2"/>
        <tr r="AI80" s="5"/>
      </tp>
      <tp t="s">
        <v>-</v>
        <stp/>
        <stp>IBOV_B_0</stp>
        <stp>BLACK</stp>
        <tr r="BY6" s="2"/>
        <tr r="AO4" s="5"/>
      </tp>
      <tp>
        <v>0</v>
        <stp/>
        <stp>INDM24_F_0</stp>
        <stp>12M</stp>
        <tr r="AG43" s="5"/>
        <tr r="BQ45" s="2"/>
      </tp>
      <tp>
        <v>0</v>
        <stp/>
        <stp>WDOM24_F_0</stp>
        <stp>12M</stp>
        <tr r="BQ49" s="2"/>
        <tr r="AG47" s="5"/>
      </tp>
      <tp>
        <v>0</v>
        <stp/>
        <stp>WINM24_F_0</stp>
        <stp>12M</stp>
        <tr r="BQ40" s="2"/>
        <tr r="AG38" s="5"/>
      </tp>
      <tp>
        <v>-2.2770499671152011</v>
        <stp/>
        <stp>DOLPT_E_0</stp>
        <stp>12M</stp>
        <tr r="BQ16" s="2"/>
        <tr r="AG14" s="5"/>
      </tp>
      <tp>
        <v>0</v>
        <stp/>
        <stp>WDOX24_F_0</stp>
        <stp>TRIM</stp>
        <tr r="BS56" s="2"/>
        <tr r="AI54" s="5"/>
      </tp>
      <tp>
        <v>0</v>
        <stp/>
        <stp>WDOQ24_F_0</stp>
        <stp>TRIM</stp>
        <tr r="BS54" s="2"/>
        <tr r="AI52" s="5"/>
      </tp>
      <tp>
        <v>0</v>
        <stp/>
        <stp>WDOU24_F_0</stp>
        <stp>TRIM</stp>
        <tr r="BS55" s="2"/>
        <tr r="AI53" s="5"/>
      </tp>
      <tp>
        <v>0</v>
        <stp/>
        <stp>WDOV24_F_0</stp>
        <stp>TRIM</stp>
        <tr r="BS57" s="2"/>
        <tr r="AI55" s="5"/>
      </tp>
      <tp>
        <v>0</v>
        <stp/>
        <stp>WDOH24_F_0</stp>
        <stp>TRIM</stp>
        <tr r="BS52" s="2"/>
        <tr r="AI50" s="5"/>
      </tp>
      <tp>
        <v>0</v>
        <stp/>
        <stp>WDOJ24_F_0</stp>
        <stp>TRIM</stp>
        <tr r="BS51" s="2"/>
        <tr r="AI49" s="5"/>
      </tp>
      <tp>
        <v>0</v>
        <stp/>
        <stp>WDOK24_F_0</stp>
        <stp>TRIM</stp>
        <tr r="BS39" s="2"/>
        <tr r="AI37" s="5"/>
      </tp>
      <tp>
        <v>0</v>
        <stp/>
        <stp>WDOM24_F_0</stp>
        <stp>TRIM</stp>
        <tr r="BS49" s="2"/>
        <tr r="AI47" s="5"/>
      </tp>
      <tp>
        <v>0</v>
        <stp/>
        <stp>WDON24_F_0</stp>
        <stp>TRIM</stp>
        <tr r="BS50" s="2"/>
        <tr r="AI48" s="5"/>
      </tp>
      <tp>
        <v>0</v>
        <stp/>
        <stp>WDOG24_F_0</stp>
        <stp>TRIM</stp>
        <tr r="BS53" s="2"/>
        <tr r="AI51" s="5"/>
      </tp>
      <tp>
        <v>0</v>
        <stp/>
        <stp>WINZ24_F_0</stp>
        <stp>TRIM</stp>
        <tr r="BS43" s="2"/>
        <tr r="AI41" s="5"/>
      </tp>
      <tp>
        <v>0</v>
        <stp/>
        <stp>WINQ24_F_0</stp>
        <stp>TRIM</stp>
        <tr r="BS41" s="2"/>
        <tr r="AI39" s="5"/>
      </tp>
      <tp>
        <v>0</v>
        <stp/>
        <stp>WINV24_F_0</stp>
        <stp>TRIM</stp>
        <tr r="BS44" s="2"/>
        <tr r="AI42" s="5"/>
      </tp>
      <tp>
        <v>0</v>
        <stp/>
        <stp>WINJ24_F_0</stp>
        <stp>TRIM</stp>
        <tr r="BS38" s="2"/>
        <tr r="AI36" s="5"/>
      </tp>
      <tp>
        <v>0</v>
        <stp/>
        <stp>WINM24_F_0</stp>
        <stp>TRIM</stp>
        <tr r="AI38" s="5"/>
        <tr r="BS40" s="2"/>
      </tp>
      <tp>
        <v>0</v>
        <stp/>
        <stp>WING24_F_0</stp>
        <stp>TRIM</stp>
        <tr r="BS42" s="2"/>
        <tr r="AI40" s="5"/>
      </tp>
      <tp t="s">
        <v>-</v>
        <stp/>
        <stp>IFIX_B_0</stp>
        <stp>IMPVT</stp>
        <tr r="BZ48" s="2"/>
        <tr r="AP46" s="5"/>
      </tp>
      <tp t="s">
        <v>09:23:33</v>
        <stp/>
        <stp>DOLPRO_#_0</stp>
        <stp>HOR</stp>
        <tr r="E44" s="5"/>
        <tr r="AO46" s="2"/>
      </tp>
      <tp>
        <v>10.240431089446957</v>
        <stp/>
        <stp>CMIG4_B_0</stp>
        <stp>12M</stp>
        <tr r="BQ23" s="2"/>
        <tr r="AG21" s="5"/>
      </tp>
      <tp>
        <v>14.438802681486118</v>
        <stp/>
        <stp>MDIA3_B_0</stp>
        <stp>12M</stp>
        <tr r="BQ78" s="2"/>
        <tr r="AG76" s="5"/>
      </tp>
      <tp>
        <v>-16.167142101330299</v>
        <stp/>
        <stp>RAIL3_B_0</stp>
        <stp>12M</stp>
        <tr r="BQ60" s="2"/>
        <tr r="AG58" s="5"/>
      </tp>
      <tp>
        <v>-25.599999999999994</v>
        <stp/>
        <stp>USIM5_B_0</stp>
        <stp>12M</stp>
        <tr r="BQ29" s="2"/>
        <tr r="AG27" s="5"/>
      </tp>
      <tp>
        <v>-70.169491525423737</v>
        <stp/>
        <stp>RAIZ4_B_0</stp>
        <stp>12M</stp>
        <tr r="BQ77" s="2"/>
        <tr r="AG75" s="5"/>
      </tp>
      <tp>
        <v>0</v>
        <stp/>
        <stp>WDON24_F_0</stp>
        <stp>12M</stp>
        <tr r="BQ50" s="2"/>
        <tr r="AG48" s="5"/>
      </tp>
      <tp t="s">
        <v>-</v>
        <stp/>
        <stp>DOLPT_E_0</stp>
        <stp>DELTA</stp>
        <tr r="CA16" s="2"/>
        <tr r="AQ14" s="5"/>
      </tp>
      <tp>
        <v>5493.5</v>
        <stp/>
        <stp>DOLPRO_#_0</stp>
        <stp>MAX</stp>
        <tr r="AR46" s="2"/>
        <tr r="H44" s="5"/>
      </tp>
      <tp>
        <v>2.3969408692408134</v>
        <stp/>
        <stp>DOLPRO_#_0</stp>
        <stp>MES</stp>
        <tr r="AD44" s="5"/>
        <tr r="BN46" s="2"/>
      </tp>
      <tp>
        <v>5486.1122941157728</v>
        <stp/>
        <stp>DOLPRO_#_0</stp>
        <stp>MED</stp>
        <tr r="AX46" s="2"/>
        <tr r="N44" s="5"/>
      </tp>
      <tp>
        <v>5478.5</v>
        <stp/>
        <stp>DOLPRO_#_0</stp>
        <stp>MIN</stp>
        <tr r="I44" s="5"/>
        <tr r="AS46" s="2"/>
      </tp>
      <tp>
        <v>9.2486399058961979</v>
        <stp/>
        <stp>ECOR3_B_0</stp>
        <stp>12M</stp>
        <tr r="BQ7" s="2"/>
        <tr r="AG5" s="5"/>
      </tp>
      <tp t="s">
        <v>-</v>
        <stp/>
        <stp>KLBN11_B_0</stp>
        <stp>VINT</stp>
        <tr r="CJ82" s="2"/>
        <tr r="AZ80" s="5"/>
      </tp>
      <tp t="s">
        <v>-</v>
        <stp/>
        <stp>KLBN11_B_0</stp>
        <stp>VIVH</stp>
        <tr r="CI82" s="2"/>
        <tr r="AY80" s="5"/>
      </tp>
      <tp t="s">
        <v>-</v>
        <stp/>
        <stp>B3SA3_B_0</stp>
        <stp>DOBRAR</stp>
        <tr r="CH21" s="2"/>
        <tr r="AX19" s="5"/>
      </tp>
      <tp>
        <v>0</v>
        <stp/>
        <stp>WDOH24_F_0</stp>
        <stp>12M</stp>
        <tr r="BQ52" s="2"/>
        <tr r="AG50" s="5"/>
      </tp>
      <tp>
        <v>0.75323009255017204</v>
        <stp/>
        <stp>DOLPT_E_0</stp>
        <stp>SEMES</stp>
        <tr r="BT16" s="2"/>
        <tr r="AJ14" s="5"/>
      </tp>
      <tp>
        <v>-25.219915396732684</v>
        <stp/>
        <stp>CSNA3_B_0</stp>
        <stp>12M</stp>
        <tr r="BQ10" s="2"/>
        <tr r="AG8" s="5"/>
      </tp>
      <tp>
        <v>30.794213167995295</v>
        <stp/>
        <stp>RANI3_B_0</stp>
        <stp>12M</stp>
        <tr r="BQ85" s="2"/>
        <tr r="AG83" s="5"/>
        <tr r="BQ92" s="2"/>
        <tr r="BQ91" s="2"/>
        <tr r="BQ87" s="2"/>
        <tr r="BQ90" s="2"/>
        <tr r="BQ89" s="2"/>
        <tr r="BQ88" s="2"/>
        <tr r="BQ86" s="2"/>
      </tp>
      <tp>
        <v>-9.8603300011559583</v>
        <stp/>
        <stp>RENT3_B_0</stp>
        <stp>12M</stp>
        <tr r="BQ24" s="2"/>
        <tr r="AG22" s="5"/>
      </tp>
      <tp t="s">
        <v>-</v>
        <stp/>
        <stp>INDM24_F_0</stp>
        <stp>VINT</stp>
        <tr r="AZ43" s="5"/>
        <tr r="CJ45" s="2"/>
      </tp>
      <tp t="s">
        <v>-</v>
        <stp/>
        <stp>INDM24_F_0</stp>
        <stp>VIVH</stp>
        <tr r="AY43" s="5"/>
        <tr r="CI45" s="2"/>
      </tp>
      <tp>
        <v>5489.5</v>
        <stp/>
        <stp>DOLPRO_#_0</stp>
        <stp>OVD</stp>
        <tr r="BE46" s="2"/>
        <tr r="U44" s="5"/>
      </tp>
      <tp>
        <v>0</v>
        <stp/>
        <stp>WDOK24_F_0</stp>
        <stp>12M</stp>
        <tr r="BQ39" s="2"/>
        <tr r="AG37" s="5"/>
      </tp>
      <tp>
        <v>5489</v>
        <stp/>
        <stp>DOLPRO_#_0</stp>
        <stp>OCP</stp>
        <tr r="BD46" s="2"/>
        <tr r="T44" s="5"/>
      </tp>
      <tp>
        <v>-37.262017326416398</v>
        <stp/>
        <stp>CAML3_B_0</stp>
        <stp>12M</stp>
        <tr r="BQ83" s="2"/>
        <tr r="AG81" s="5"/>
      </tp>
      <tp>
        <v>-60.963359299184305</v>
        <stp/>
        <stp>ARML3_B_0</stp>
        <stp>12M</stp>
        <tr r="BQ80" s="2"/>
        <tr r="AG78" s="5"/>
      </tp>
      <tp>
        <v>-44.165270798436623</v>
        <stp/>
        <stp>VAMO3_B_0</stp>
        <stp>12M</stp>
        <tr r="BQ74" s="2"/>
        <tr r="AG72" s="5"/>
      </tp>
      <tp>
        <v>-0.16000000000000014</v>
        <stp/>
        <stp>B3SA3_B_0</stp>
        <stp>VARPTS</stp>
        <tr r="AW21" s="2"/>
        <tr r="M19" s="5"/>
      </tp>
      <tp>
        <v>-9.0107987756868582</v>
        <stp/>
        <stp>KLBN11_B_0</stp>
        <stp>12M</stp>
        <tr r="BQ82" s="2"/>
        <tr r="AG80" s="5"/>
      </tp>
      <tp>
        <v>0</v>
        <stp/>
        <stp>WDOJ24_F_0</stp>
        <stp>12M</stp>
        <tr r="BQ51" s="2"/>
        <tr r="AG49" s="5"/>
      </tp>
      <tp>
        <v>0</v>
        <stp/>
        <stp>WINJ24_F_0</stp>
        <stp>12M</stp>
        <tr r="BQ38" s="2"/>
        <tr r="AG36" s="5"/>
      </tp>
      <tp>
        <v>74215</v>
        <stp/>
        <stp>DOLPRO_#_0</stp>
        <stp>NEG</stp>
        <tr r="P44" s="5"/>
        <tr r="AZ46" s="2"/>
      </tp>
      <tp>
        <v>3.6669471602196433</v>
        <stp/>
        <stp>VALE3_B_0</stp>
        <stp>12M</stp>
        <tr r="BQ12" s="2"/>
        <tr r="AG10" s="5"/>
      </tp>
      <tp>
        <v>-58.022690437601284</v>
        <stp/>
        <stp>JALL3_B_0</stp>
        <stp>12M</stp>
        <tr r="BQ69" s="2"/>
        <tr r="AG67" s="5"/>
      </tp>
      <tp>
        <v>-4.2937027872551328</v>
        <stp/>
        <stp>MGLU3_B_0</stp>
        <stp>12M</stp>
        <tr r="BQ35" s="2"/>
        <tr r="AG33" s="5"/>
      </tp>
      <tp>
        <v>5482.5</v>
        <stp/>
        <stp>DOLPRO_#_0</stp>
        <stp>ABE</stp>
        <tr r="G44" s="5"/>
        <tr r="AQ46" s="2"/>
      </tp>
      <tp>
        <v>0</v>
        <stp/>
        <stp>DOLPRO_#_0</stp>
        <stp>AJU</stp>
        <tr r="X44" s="5"/>
        <tr r="BH46" s="2"/>
      </tp>
      <tp>
        <v>5489.06</v>
        <stp/>
        <stp>DOLPRO_#_0</stp>
        <stp>AJA</stp>
        <tr r="Y44" s="5"/>
        <tr r="BI46" s="2"/>
      </tp>
      <tp>
        <v>-14.837528714312439</v>
        <stp/>
        <stp>DOLPRO_#_0</stp>
        <stp>ANO</stp>
        <tr r="AH44" s="5"/>
        <tr r="BR46" s="2"/>
      </tp>
      <tp>
        <v>-5.6286013304622955</v>
        <stp/>
        <stp>SLCE3_B_0</stp>
        <stp>12M</stp>
        <tr r="BQ79" s="2"/>
        <tr r="AG77" s="5"/>
      </tp>
      <tp>
        <v>-37.628633100747955</v>
        <stp/>
        <stp>DXCO3_B_0</stp>
        <stp>12M</stp>
        <tr r="BQ75" s="2"/>
        <tr r="AG73" s="5"/>
      </tp>
      <tp t="s">
        <v>-</v>
        <stp/>
        <stp>KLBN11_B_0</stp>
        <stp>VEGA</stp>
        <tr r="CE82" s="2"/>
        <tr r="AU80" s="5"/>
      </tp>
      <tp t="s">
        <v>-</v>
        <stp/>
        <stp>KLBN11_B_0</stp>
        <stp>VEXT</stp>
        <tr r="CK82" s="2"/>
        <tr r="BA80" s="5"/>
      </tp>
      <tp t="s">
        <v>-</v>
        <stp/>
        <stp>DOLPT_E_0</stp>
        <stp>BLACK</stp>
        <tr r="BY16" s="2"/>
        <tr r="AO14" s="5"/>
      </tp>
      <tp>
        <v>11.149244126945641</v>
        <stp/>
        <stp>IFIX_B_0</stp>
        <stp>12M</stp>
        <tr r="AG46" s="5"/>
        <tr r="BQ48" s="2"/>
      </tp>
      <tp>
        <v>82.356536262805221</v>
        <stp/>
        <stp>EMBR3_B_0</stp>
        <stp>12M</stp>
        <tr r="BQ26" s="2"/>
        <tr r="AG24" s="5"/>
      </tp>
      <tp>
        <v>-0.32362459546926126</v>
        <stp/>
        <stp>GGBR4_B_0</stp>
        <stp>12M</stp>
        <tr r="BQ13" s="2"/>
        <tr r="AG11" s="5"/>
      </tp>
      <tp t="s">
        <v>-</v>
        <stp/>
        <stp>INDM24_F_0</stp>
        <stp>VEGA</stp>
        <tr r="AU43" s="5"/>
        <tr r="CE45" s="2"/>
      </tp>
      <tp t="s">
        <v>-</v>
        <stp/>
        <stp>INDM24_F_0</stp>
        <stp>VEXT</stp>
        <tr r="BA43" s="5"/>
        <tr r="CK45" s="2"/>
      </tp>
      <tp>
        <v>2042854</v>
        <stp/>
        <stp>DOLPRO_#_0</stp>
        <stp>CAB</stp>
        <tr r="BW46" s="2"/>
        <tr r="AM44" s="5"/>
      </tp>
      <tp>
        <v>0</v>
        <stp/>
        <stp>WDOG24_F_0</stp>
        <stp>12M</stp>
        <tr r="BQ53" s="2"/>
        <tr r="AG51" s="5"/>
      </tp>
      <tp>
        <v>0</v>
        <stp/>
        <stp>WING24_F_0</stp>
        <stp>12M</stp>
        <tr r="BQ42" s="2"/>
        <tr r="AG40" s="5"/>
      </tp>
      <tp>
        <v>-51.404958677685954</v>
        <stp/>
        <stp>CSAN3_B_0</stp>
        <stp>12M</stp>
        <tr r="BQ62" s="2"/>
        <tr r="AG60" s="5"/>
      </tp>
      <tp>
        <v>23.781455452278411</v>
        <stp/>
        <stp>ASAI3_B_0</stp>
        <stp>12M</stp>
        <tr r="BQ61" s="2"/>
        <tr r="AG59" s="5"/>
      </tp>
      <tp>
        <v>-12.351386120417891</v>
        <stp/>
        <stp>GMAT3_B_0</stp>
        <stp>12M</stp>
        <tr r="BQ59" s="2"/>
        <tr r="AG57" s="5"/>
      </tp>
      <tp>
        <v>1.3620525815647673</v>
        <stp/>
        <stp>GOAU4_B_0</stp>
        <stp>12M</stp>
        <tr r="BQ19" s="2"/>
        <tr r="AG17" s="5"/>
      </tp>
      <tp>
        <v>-1.5403615904490573</v>
        <stp/>
        <stp>BRAP4_B_0</stp>
        <stp>12M</stp>
        <tr r="BQ30" s="2"/>
        <tr r="AG28" s="5"/>
      </tp>
      <tp>
        <v>15.290519877675839</v>
        <stp/>
        <stp>PCAR3_B_0</stp>
        <stp>12M</stp>
        <tr r="AG68" s="5"/>
        <tr r="BQ70" s="2"/>
      </tp>
      <tp>
        <v>-16.677065261581689</v>
        <stp/>
        <stp>BBAS3_B_0</stp>
        <stp>12M</stp>
        <tr r="BQ14" s="2"/>
        <tr r="AG12" s="5"/>
      </tp>
      <tp>
        <v>-9.2975802872927567</v>
        <stp/>
        <stp>DOLFUT_F_0</stp>
        <stp>12M</stp>
        <tr r="AG13" s="5"/>
        <tr r="BQ15" s="2"/>
      </tp>
      <tp>
        <v>-2.643746266491255</v>
        <stp/>
        <stp>INDFUT_F_0</stp>
        <stp>12M</stp>
        <tr r="BQ17" s="2"/>
        <tr r="AG15" s="5"/>
      </tp>
      <tp>
        <v>-9.1193689532407944</v>
        <stp/>
        <stp>WDOFUT_F_0</stp>
        <stp>12M</stp>
        <tr r="BQ37" s="2"/>
        <tr r="AG35" s="5"/>
      </tp>
      <tp>
        <v>-2.7046899418796566</v>
        <stp/>
        <stp>WINFUT_F_0</stp>
        <stp>12M</stp>
        <tr r="BQ36" s="2"/>
        <tr r="AG34" s="5"/>
      </tp>
      <tp t="s">
        <v>Aberto</v>
        <stp/>
        <stp>DOLPRO_#_0</stp>
        <stp>EST</stp>
        <tr r="AN44" s="5"/>
        <tr r="BX46" s="2"/>
      </tp>
      <tp t="s">
        <v>-</v>
        <stp/>
        <stp>KLBN11_B_0</stp>
        <stp>GAMA</stp>
        <tr r="CB82" s="2"/>
        <tr r="AR80" s="5"/>
      </tp>
      <tp t="s">
        <v>-</v>
        <stp/>
        <stp>DOLPT_E_0</stp>
        <stp>THETA</stp>
        <tr r="CC16" s="2"/>
        <tr r="AS14" s="5"/>
      </tp>
      <tp t="s">
        <v>15/10/2025</v>
        <stp/>
        <stp>DOLPRO_#_0</stp>
        <stp>DAT</stp>
        <tr r="D44" s="5"/>
        <tr r="AN46" s="2"/>
      </tp>
      <tp>
        <v>117.03387043735611</v>
        <stp/>
        <stp>MRFG3_B_0</stp>
        <stp>12M</stp>
        <tr r="AG66" s="5"/>
        <tr r="BQ68" s="2"/>
      </tp>
      <tp>
        <v>0</v>
        <stp/>
        <stp>CRFB3_B_0</stp>
        <stp>12M</stp>
        <tr r="BQ63" s="2"/>
        <tr r="AG61" s="5"/>
      </tp>
      <tp>
        <v>8.9933795304321595</v>
        <stp/>
        <stp>IBOV_B_0</stp>
        <stp>12M</stp>
        <tr r="BQ6" s="2"/>
        <tr r="AG4" s="5"/>
      </tp>
      <tp>
        <v>-10.785288270377741</v>
        <stp/>
        <stp>BRFS3_B_0</stp>
        <stp>12M</stp>
        <tr r="BQ33" s="2"/>
        <tr r="AG31" s="5"/>
      </tp>
      <tp t="s">
        <v>-</v>
        <stp/>
        <stp>INDM24_F_0</stp>
        <stp>GAMA</stp>
        <tr r="AR43" s="5"/>
        <tr r="CB45" s="2"/>
      </tp>
      <tp>
        <v>47.741474736654162</v>
        <stp/>
        <stp>BEEF3_B_0</stp>
        <stp>12M</stp>
        <tr r="AG65" s="5"/>
        <tr r="BQ67" s="2"/>
      </tp>
      <tp>
        <v>0</v>
        <stp/>
        <stp>CIEL3_B_0</stp>
        <stp>12M</stp>
        <tr r="BQ8" s="2"/>
        <tr r="AG6" s="5"/>
      </tp>
      <tp>
        <v>30.794182274772407</v>
        <stp/>
        <stp>TTEN3_B_0</stp>
        <stp>12M</stp>
        <tr r="BQ84" s="2"/>
        <tr r="AG82" s="5"/>
      </tp>
      <tp>
        <v>-11.916492898574797</v>
        <stp/>
        <stp>LREN3_B_0</stp>
        <stp>12M</stp>
        <tr r="BQ34" s="2"/>
        <tr r="AG32" s="5"/>
      </tp>
      <tp>
        <v>1.269865281664688</v>
        <stp/>
        <stp>ABEV3_B_0</stp>
        <stp>12M</stp>
        <tr r="BQ20" s="2"/>
        <tr r="AG18" s="5"/>
      </tp>
      <tp t="s">
        <v>-</v>
        <stp/>
        <stp>IBOV_B_0</stp>
        <stp>IMPVT</stp>
        <tr r="BZ6" s="2"/>
        <tr r="AP4" s="5"/>
      </tp>
      <tp>
        <v>5500.5</v>
        <stp/>
        <stp>DOLPRO_#_0</stp>
        <stp>FEC</stp>
        <tr r="J44" s="5"/>
        <tr r="AT46" s="2"/>
      </tp>
      <tp>
        <v>25.682059545171558</v>
        <stp/>
        <stp>BBDC4_B_0</stp>
        <stp>12M</stp>
        <tr r="BQ27" s="2"/>
        <tr r="AG25" s="5"/>
      </tp>
      <tp t="s">
        <v>-</v>
        <stp/>
        <stp>WDOH24_F_0</stp>
        <stp>DELTA</stp>
        <tr r="CA52" s="2"/>
        <tr r="AQ50" s="5"/>
      </tp>
      <tp t="s">
        <v>-</v>
        <stp/>
        <stp>WDOK24_F_0</stp>
        <stp>DELTA</stp>
        <tr r="CA39" s="2"/>
        <tr r="AQ37" s="5"/>
      </tp>
      <tp t="s">
        <v>-</v>
        <stp/>
        <stp>WDOJ24_F_0</stp>
        <stp>DELTA</stp>
        <tr r="CA51" s="2"/>
        <tr r="AQ49" s="5"/>
      </tp>
      <tp t="s">
        <v>-</v>
        <stp/>
        <stp>WDOM24_F_0</stp>
        <stp>DELTA</stp>
        <tr r="CA49" s="2"/>
        <tr r="AQ47" s="5"/>
      </tp>
      <tp t="s">
        <v>-</v>
        <stp/>
        <stp>WDON24_F_0</stp>
        <stp>DELTA</stp>
        <tr r="CA50" s="2"/>
        <tr r="AQ48" s="5"/>
      </tp>
      <tp t="s">
        <v>-</v>
        <stp/>
        <stp>WDOG24_F_0</stp>
        <stp>DELTA</stp>
        <tr r="CA53" s="2"/>
        <tr r="AQ51" s="5"/>
      </tp>
      <tp t="s">
        <v>-</v>
        <stp/>
        <stp>WDOX24_F_0</stp>
        <stp>DELTA</stp>
        <tr r="CA56" s="2"/>
        <tr r="AQ54" s="5"/>
      </tp>
      <tp t="s">
        <v>-</v>
        <stp/>
        <stp>WDOQ24_F_0</stp>
        <stp>DELTA</stp>
        <tr r="CA54" s="2"/>
        <tr r="AQ52" s="5"/>
      </tp>
      <tp t="s">
        <v>-</v>
        <stp/>
        <stp>WDOU24_F_0</stp>
        <stp>DELTA</stp>
        <tr r="CA55" s="2"/>
        <tr r="AQ53" s="5"/>
      </tp>
      <tp t="s">
        <v>-</v>
        <stp/>
        <stp>WDOV24_F_0</stp>
        <stp>DELTA</stp>
        <tr r="CA57" s="2"/>
        <tr r="AQ55" s="5"/>
      </tp>
      <tp t="s">
        <v>-</v>
        <stp/>
        <stp>KLBN11_B_0</stp>
        <stp>BLACK</stp>
        <tr r="BY82" s="2"/>
        <tr r="AO80" s="5"/>
      </tp>
      <tp t="s">
        <v>-</v>
        <stp/>
        <stp>WING24_F_0</stp>
        <stp>BLACK</stp>
        <tr r="BY42" s="2"/>
        <tr r="AO40" s="5"/>
      </tp>
      <tp t="s">
        <v>-</v>
        <stp/>
        <stp>WINM24_F_0</stp>
        <stp>BLACK</stp>
        <tr r="BY40" s="2"/>
        <tr r="AO38" s="5"/>
      </tp>
      <tp t="s">
        <v>-</v>
        <stp/>
        <stp>WINJ24_F_0</stp>
        <stp>BLACK</stp>
        <tr r="BY38" s="2"/>
        <tr r="AO36" s="5"/>
      </tp>
      <tp t="s">
        <v>-</v>
        <stp/>
        <stp>WINV24_F_0</stp>
        <stp>BLACK</stp>
        <tr r="AO42" s="5"/>
        <tr r="BY44" s="2"/>
      </tp>
      <tp t="s">
        <v>-</v>
        <stp/>
        <stp>WINQ24_F_0</stp>
        <stp>BLACK</stp>
        <tr r="BY41" s="2"/>
        <tr r="AO39" s="5"/>
      </tp>
      <tp t="s">
        <v>-</v>
        <stp/>
        <stp>WINZ24_F_0</stp>
        <stp>BLACK</stp>
        <tr r="BY43" s="2"/>
        <tr r="AO41" s="5"/>
      </tp>
      <tp>
        <v>0</v>
        <stp/>
        <stp>WDOM24_F_0</stp>
        <stp>SEMES</stp>
        <tr r="BT49" s="2"/>
        <tr r="AJ47" s="5"/>
      </tp>
      <tp>
        <v>0</v>
        <stp/>
        <stp>WDON24_F_0</stp>
        <stp>SEMES</stp>
        <tr r="BT50" s="2"/>
        <tr r="AJ48" s="5"/>
      </tp>
      <tp>
        <v>0</v>
        <stp/>
        <stp>WDOH24_F_0</stp>
        <stp>SEMES</stp>
        <tr r="BT52" s="2"/>
        <tr r="AJ50" s="5"/>
      </tp>
      <tp>
        <v>0</v>
        <stp/>
        <stp>WDOJ24_F_0</stp>
        <stp>SEMES</stp>
        <tr r="BT51" s="2"/>
        <tr r="AJ49" s="5"/>
      </tp>
      <tp>
        <v>0</v>
        <stp/>
        <stp>WDOK24_F_0</stp>
        <stp>SEMES</stp>
        <tr r="BT39" s="2"/>
        <tr r="AJ37" s="5"/>
      </tp>
      <tp>
        <v>0</v>
        <stp/>
        <stp>WDOG24_F_0</stp>
        <stp>SEMES</stp>
        <tr r="BT53" s="2"/>
        <tr r="AJ51" s="5"/>
      </tp>
      <tp>
        <v>0</v>
        <stp/>
        <stp>WDOX24_F_0</stp>
        <stp>SEMES</stp>
        <tr r="BT56" s="2"/>
        <tr r="AJ54" s="5"/>
      </tp>
      <tp>
        <v>0</v>
        <stp/>
        <stp>WDOU24_F_0</stp>
        <stp>SEMES</stp>
        <tr r="BT55" s="2"/>
        <tr r="AJ53" s="5"/>
      </tp>
      <tp>
        <v>0</v>
        <stp/>
        <stp>WDOV24_F_0</stp>
        <stp>SEMES</stp>
        <tr r="BT57" s="2"/>
        <tr r="AJ55" s="5"/>
      </tp>
      <tp>
        <v>0</v>
        <stp/>
        <stp>WDOQ24_F_0</stp>
        <stp>SEMES</stp>
        <tr r="BT54" s="2"/>
        <tr r="AJ52" s="5"/>
      </tp>
      <tp t="s">
        <v>-</v>
        <stp/>
        <stp>WDOFUTV_F_0</stp>
        <stp>GAMA</stp>
        <tr r="AR45" s="5"/>
        <tr r="CB47" s="2"/>
      </tp>
      <tp>
        <v>10.189573459715632</v>
        <stp/>
        <stp>USIM5_B_0</stp>
        <stp>3M</stp>
        <tr r="BO29" s="2"/>
        <tr r="AE27" s="5"/>
      </tp>
      <tp>
        <v>-2.0857473928157555</v>
        <stp/>
        <stp>CSNA3_B_0</stp>
        <stp>6M</stp>
        <tr r="BP10" s="2"/>
        <tr r="AF8" s="5"/>
      </tp>
      <tp>
        <v>-14.206642066420658</v>
        <stp/>
        <stp>USIM5_B_0</stp>
        <stp>6M</stp>
        <tr r="BP29" s="2"/>
        <tr r="AF27" s="5"/>
      </tp>
      <tp>
        <v>3.0487804878048776</v>
        <stp/>
        <stp>CSNA3_B_0</stp>
        <stp>3M</stp>
        <tr r="BO10" s="2"/>
        <tr r="AE8" s="5"/>
      </tp>
      <tp>
        <v>-17.272727272727263</v>
        <stp/>
        <stp>ASAI3_B_0</stp>
        <stp>3M</stp>
        <tr r="BO61" s="2"/>
        <tr r="AE59" s="5"/>
      </tp>
      <tp>
        <v>-6.3694267515923624</v>
        <stp/>
        <stp>CSAN3_B_0</stp>
        <stp>3M</stp>
        <tr r="BO62" s="2"/>
        <tr r="AE60" s="5"/>
      </tp>
      <tp>
        <v>-1.1693154255511682</v>
        <stp/>
        <stp>ASAI3_B_0</stp>
        <stp>6M</stp>
        <tr r="BP61" s="2"/>
        <tr r="AF59" s="5"/>
      </tp>
      <tp>
        <v>-16.47727272727273</v>
        <stp/>
        <stp>CSAN3_B_0</stp>
        <stp>6M</stp>
        <tr r="BP62" s="2"/>
        <tr r="AF60" s="5"/>
      </tp>
      <tp t="s">
        <v>-</v>
        <stp/>
        <stp>INDM24_F_0</stp>
        <stp>THETA</stp>
        <tr r="AS43" s="5"/>
        <tr r="CC45" s="2"/>
      </tp>
      <tp>
        <v>0</v>
        <stp/>
        <stp>ARZZ3_B_0</stp>
        <stp>3M</stp>
        <tr r="BO72" s="2"/>
        <tr r="AE70" s="5"/>
      </tp>
      <tp>
        <v>0</v>
        <stp/>
        <stp>ARZZ3_B_0</stp>
        <stp>6M</stp>
        <tr r="BP72" s="2"/>
        <tr r="AF70" s="5"/>
      </tp>
      <tp>
        <v>26.57200811359025</v>
        <stp/>
        <stp>MRVE3_B_0</stp>
        <stp>6M</stp>
        <tr r="BP18" s="2"/>
        <tr r="AF16" s="5"/>
      </tp>
      <tp>
        <v>-0.4784688995215351</v>
        <stp/>
        <stp>MRVE3_B_0</stp>
        <stp>3M</stp>
        <tr r="BO18" s="2"/>
        <tr r="AE16" s="5"/>
      </tp>
      <tp>
        <v>-27.282276780261398</v>
        <stp/>
        <stp>ARML3_B_0</stp>
        <stp>6M</stp>
        <tr r="BP80" s="2"/>
        <tr r="AF78" s="5"/>
      </tp>
      <tp>
        <v>-24.760508555974013</v>
        <stp/>
        <stp>ARML3_B_0</stp>
        <stp>3M</stp>
        <tr r="BO80" s="2"/>
        <tr r="AE78" s="5"/>
      </tp>
      <tp>
        <v>4.6808510638298069</v>
        <stp/>
        <stp>BRAP4_B_0</stp>
        <stp>3M</stp>
        <tr r="BO30" s="2"/>
        <tr r="AE28" s="5"/>
      </tp>
      <tp>
        <v>14.241039019058787</v>
        <stp/>
        <stp>LREN3_B_0</stp>
        <stp>6M</stp>
        <tr r="BP34" s="2"/>
        <tr r="AF32" s="5"/>
      </tp>
      <tp>
        <v>-3.3782619929377375</v>
        <stp/>
        <stp>BRFS3_B_0</stp>
        <stp>6M</stp>
        <tr r="AF31" s="5"/>
        <tr r="BP33" s="2"/>
      </tp>
      <tp>
        <v>0</v>
        <stp/>
        <stp>CRFB3_B_0</stp>
        <stp>6M</stp>
        <tr r="BP63" s="2"/>
        <tr r="AF61" s="5"/>
      </tp>
      <tp>
        <v>17.164746281739056</v>
        <stp/>
        <stp>MRFG3_B_0</stp>
        <stp>6M</stp>
        <tr r="AF66" s="5"/>
        <tr r="BP68" s="2"/>
      </tp>
      <tp>
        <v>-20.253051768689303</v>
        <stp/>
        <stp>LREN3_B_0</stp>
        <stp>3M</stp>
        <tr r="BO34" s="2"/>
        <tr r="AE32" s="5"/>
      </tp>
      <tp>
        <v>5.8246580056784003</v>
        <stp/>
        <stp>BRAP4_B_0</stp>
        <stp>6M</stp>
        <tr r="BP30" s="2"/>
        <tr r="AF28" s="5"/>
      </tp>
      <tp>
        <v>-5.494482351950138</v>
        <stp/>
        <stp>BRFS3_B_0</stp>
        <stp>3M</stp>
        <tr r="AE31" s="5"/>
        <tr r="BO33" s="2"/>
      </tp>
      <tp>
        <v>0</v>
        <stp/>
        <stp>CRFB3_B_0</stp>
        <stp>3M</stp>
        <tr r="BO63" s="2"/>
        <tr r="AE61" s="5"/>
      </tp>
      <tp>
        <v>2.6972618926055074</v>
        <stp/>
        <stp>MRFG3_B_0</stp>
        <stp>3M</stp>
        <tr r="AE66" s="5"/>
        <tr r="BO68" s="2"/>
      </tp>
      <tp t="s">
        <v>-</v>
        <stp/>
        <stp>KLBN11_B_0</stp>
        <stp>THETA</stp>
        <tr r="CC82" s="2"/>
        <tr r="AS80" s="5"/>
      </tp>
      <tp t="s">
        <v>-</v>
        <stp/>
        <stp>WINZ24_F_0</stp>
        <stp>THETA</stp>
        <tr r="CC43" s="2"/>
        <tr r="AS41" s="5"/>
      </tp>
      <tp t="s">
        <v>-</v>
        <stp/>
        <stp>WINQ24_F_0</stp>
        <stp>THETA</stp>
        <tr r="CC41" s="2"/>
        <tr r="AS39" s="5"/>
      </tp>
      <tp t="s">
        <v>-</v>
        <stp/>
        <stp>WINV24_F_0</stp>
        <stp>THETA</stp>
        <tr r="AS42" s="5"/>
        <tr r="CC44" s="2"/>
      </tp>
      <tp t="s">
        <v>-</v>
        <stp/>
        <stp>WINJ24_F_0</stp>
        <stp>THETA</stp>
        <tr r="CC38" s="2"/>
        <tr r="AS36" s="5"/>
      </tp>
      <tp t="s">
        <v>-</v>
        <stp/>
        <stp>WINM24_F_0</stp>
        <stp>THETA</stp>
        <tr r="CC40" s="2"/>
        <tr r="AS38" s="5"/>
      </tp>
      <tp t="s">
        <v>-</v>
        <stp/>
        <stp>WING24_F_0</stp>
        <stp>THETA</stp>
        <tr r="CC42" s="2"/>
        <tr r="AS40" s="5"/>
      </tp>
      <tp>
        <v>-3.9239239239239256</v>
        <stp/>
        <stp>SUZB3_B_0</stp>
        <stp>3M</stp>
        <tr r="BO25" s="2"/>
        <tr r="AE23" s="5"/>
      </tp>
      <tp>
        <v>-7.0681642137877585</v>
        <stp/>
        <stp>SUZB3_B_0</stp>
        <stp>6M</stp>
        <tr r="AF23" s="5"/>
        <tr r="BP25" s="2"/>
      </tp>
      <tp>
        <v>-29.087779690189318</v>
        <stp/>
        <stp>TUPY3_B_0</stp>
        <stp>3M</stp>
        <tr r="BO81" s="2"/>
        <tr r="AE79" s="5"/>
      </tp>
      <tp>
        <v>-34.74128827877508</v>
        <stp/>
        <stp>TUPY3_B_0</stp>
        <stp>6M</stp>
        <tr r="BP81" s="2"/>
        <tr r="AF79" s="5"/>
      </tp>
      <tp>
        <v>19.925962930228387</v>
        <stp/>
        <stp>ITUB4_B_0</stp>
        <stp>6M</stp>
        <tr r="BP32" s="2"/>
        <tr r="AF30" s="5"/>
      </tp>
      <tp>
        <v>7.379015741120007</v>
        <stp/>
        <stp>ITSA4_B_0</stp>
        <stp>3M</stp>
        <tr r="BO31" s="2"/>
        <tr r="AE29" s="5"/>
      </tp>
      <tp>
        <v>8.3215225754201327</v>
        <stp/>
        <stp>ITUB4_B_0</stp>
        <stp>3M</stp>
        <tr r="BO32" s="2"/>
        <tr r="AE30" s="5"/>
      </tp>
      <tp>
        <v>16.699348137156182</v>
        <stp/>
        <stp>ITSA4_B_0</stp>
        <stp>6M</stp>
        <tr r="BP31" s="2"/>
        <tr r="AF29" s="5"/>
      </tp>
      <tp>
        <v>-5.6280027453671941</v>
        <stp/>
        <stp>TTEN3_B_0</stp>
        <stp>6M</stp>
        <tr r="BP84" s="2"/>
        <tr r="AF82" s="5"/>
      </tp>
      <tp>
        <v>0.21865889212827522</v>
        <stp/>
        <stp>TTEN3_B_0</stp>
        <stp>3M</stp>
        <tr r="BO84" s="2"/>
        <tr r="AE82" s="5"/>
      </tp>
      <tp t="s">
        <v>-</v>
        <stp/>
        <stp>WDOFUTV_F_0</stp>
        <stp>VEGA</stp>
        <tr r="CE47" s="2"/>
        <tr r="AU45" s="5"/>
      </tp>
      <tp t="s">
        <v>-</v>
        <stp/>
        <stp>WDOFUTV_F_0</stp>
        <stp>VEXT</stp>
        <tr r="CK47" s="2"/>
        <tr r="BA45" s="5"/>
      </tp>
      <tp t="s">
        <v>-</v>
        <stp/>
        <stp>INDM24_F_0</stp>
        <stp>BLACK</stp>
        <tr r="AO43" s="5"/>
        <tr r="BY45" s="2"/>
      </tp>
      <tp>
        <v>12.931034482758625</v>
        <stp/>
        <stp>CYRE3_B_0</stp>
        <stp>3M</stp>
        <tr r="BO28" s="2"/>
        <tr r="AE26" s="5"/>
      </tp>
      <tp>
        <v>20.704963897404969</v>
        <stp/>
        <stp>CYRE3_B_0</stp>
        <stp>6M</stp>
        <tr r="BP28" s="2"/>
        <tr r="AF26" s="5"/>
      </tp>
      <tp t="s">
        <v>-</v>
        <stp/>
        <stp>WDOX24_F_0</stp>
        <stp>THETA</stp>
        <tr r="CC56" s="2"/>
        <tr r="AS54" s="5"/>
      </tp>
      <tp t="s">
        <v>-</v>
        <stp/>
        <stp>WDOQ24_F_0</stp>
        <stp>THETA</stp>
        <tr r="CC54" s="2"/>
        <tr r="AS52" s="5"/>
      </tp>
      <tp t="s">
        <v>-</v>
        <stp/>
        <stp>WDOU24_F_0</stp>
        <stp>THETA</stp>
        <tr r="AS53" s="5"/>
        <tr r="CC55" s="2"/>
      </tp>
      <tp t="s">
        <v>-</v>
        <stp/>
        <stp>WDOV24_F_0</stp>
        <stp>THETA</stp>
        <tr r="CC57" s="2"/>
        <tr r="AS55" s="5"/>
      </tp>
      <tp t="s">
        <v>-</v>
        <stp/>
        <stp>WDOH24_F_0</stp>
        <stp>THETA</stp>
        <tr r="CC52" s="2"/>
        <tr r="AS50" s="5"/>
      </tp>
      <tp t="s">
        <v>-</v>
        <stp/>
        <stp>WDOK24_F_0</stp>
        <stp>THETA</stp>
        <tr r="CC39" s="2"/>
        <tr r="AS37" s="5"/>
      </tp>
      <tp t="s">
        <v>-</v>
        <stp/>
        <stp>WDOJ24_F_0</stp>
        <stp>THETA</stp>
        <tr r="CC51" s="2"/>
        <tr r="AS49" s="5"/>
      </tp>
      <tp t="s">
        <v>-</v>
        <stp/>
        <stp>WDOM24_F_0</stp>
        <stp>THETA</stp>
        <tr r="CC49" s="2"/>
        <tr r="AS47" s="5"/>
      </tp>
      <tp t="s">
        <v>-</v>
        <stp/>
        <stp>WDON24_F_0</stp>
        <stp>THETA</stp>
        <tr r="CC50" s="2"/>
        <tr r="AS48" s="5"/>
      </tp>
      <tp t="s">
        <v>-</v>
        <stp/>
        <stp>WDOG24_F_0</stp>
        <stp>THETA</stp>
        <tr r="CC53" s="2"/>
        <tr r="AS51" s="5"/>
      </tp>
      <tp>
        <v>-5.5133079847908748</v>
        <stp/>
        <stp>DXCO3_B_0</stp>
        <stp>3M</stp>
        <tr r="BO75" s="2"/>
        <tr r="AE73" s="5"/>
      </tp>
      <tp>
        <v>-4.4230769230769145</v>
        <stp/>
        <stp>DXCO3_B_0</stp>
        <stp>6M</stp>
        <tr r="BP75" s="2"/>
        <tr r="AF73" s="5"/>
      </tp>
      <tp t="s">
        <v>-</v>
        <stp/>
        <stp>WDOFUTV_F_0</stp>
        <stp>VINT</stp>
        <tr r="AZ45" s="5"/>
        <tr r="CJ47" s="2"/>
      </tp>
      <tp t="s">
        <v>-</v>
        <stp/>
        <stp>WDOFUTV_F_0</stp>
        <stp>VIVH</stp>
        <tr r="AY45" s="5"/>
        <tr r="CI47" s="2"/>
      </tp>
      <tp t="s">
        <v>-</v>
        <stp/>
        <stp>INDM24_F_0</stp>
        <stp>DELTA</stp>
        <tr r="AQ43" s="5"/>
        <tr r="CA45" s="2"/>
      </tp>
      <tp>
        <v>0</v>
        <stp/>
        <stp>INDM24_F_0</stp>
        <stp>SEMES</stp>
        <tr r="AJ43" s="5"/>
        <tr r="BT45" s="2"/>
      </tp>
      <tp>
        <v>-4.1498448271126938</v>
        <stp/>
        <stp>KLBN11_B_0</stp>
        <stp>SEMES</stp>
        <tr r="BT82" s="2"/>
        <tr r="AJ80" s="5"/>
      </tp>
      <tp>
        <v>0</v>
        <stp/>
        <stp>WINM24_F_0</stp>
        <stp>SEMES</stp>
        <tr r="AJ38" s="5"/>
        <tr r="BT40" s="2"/>
      </tp>
      <tp>
        <v>0</v>
        <stp/>
        <stp>WINJ24_F_0</stp>
        <stp>SEMES</stp>
        <tr r="BT38" s="2"/>
        <tr r="AJ36" s="5"/>
      </tp>
      <tp>
        <v>0</v>
        <stp/>
        <stp>WING24_F_0</stp>
        <stp>SEMES</stp>
        <tr r="BT42" s="2"/>
        <tr r="AJ40" s="5"/>
      </tp>
      <tp>
        <v>0</v>
        <stp/>
        <stp>WINZ24_F_0</stp>
        <stp>SEMES</stp>
        <tr r="BT43" s="2"/>
        <tr r="AJ41" s="5"/>
      </tp>
      <tp>
        <v>0</v>
        <stp/>
        <stp>WINV24_F_0</stp>
        <stp>SEMES</stp>
        <tr r="BT44" s="2"/>
        <tr r="AJ42" s="5"/>
      </tp>
      <tp>
        <v>0</v>
        <stp/>
        <stp>WINQ24_F_0</stp>
        <stp>SEMES</stp>
        <tr r="BT41" s="2"/>
        <tr r="AJ39" s="5"/>
      </tp>
      <tp t="s">
        <v>-</v>
        <stp/>
        <stp>KLBN11_B_0</stp>
        <stp>DELTA</stp>
        <tr r="CA82" s="2"/>
        <tr r="AQ80" s="5"/>
      </tp>
      <tp t="s">
        <v>-</v>
        <stp/>
        <stp>WINJ24_F_0</stp>
        <stp>DELTA</stp>
        <tr r="CA38" s="2"/>
        <tr r="AQ36" s="5"/>
      </tp>
      <tp t="s">
        <v>-</v>
        <stp/>
        <stp>WINM24_F_0</stp>
        <stp>DELTA</stp>
        <tr r="CA40" s="2"/>
        <tr r="AQ38" s="5"/>
      </tp>
      <tp t="s">
        <v>-</v>
        <stp/>
        <stp>WING24_F_0</stp>
        <stp>DELTA</stp>
        <tr r="CA42" s="2"/>
        <tr r="AQ40" s="5"/>
      </tp>
      <tp t="s">
        <v>-</v>
        <stp/>
        <stp>WINZ24_F_0</stp>
        <stp>DELTA</stp>
        <tr r="CA43" s="2"/>
        <tr r="AQ41" s="5"/>
      </tp>
      <tp t="s">
        <v>-</v>
        <stp/>
        <stp>WINQ24_F_0</stp>
        <stp>DELTA</stp>
        <tr r="CA41" s="2"/>
        <tr r="AQ39" s="5"/>
      </tp>
      <tp t="s">
        <v>-</v>
        <stp/>
        <stp>WINV24_F_0</stp>
        <stp>DELTA</stp>
        <tr r="CA44" s="2"/>
        <tr r="AQ42" s="5"/>
      </tp>
      <tp t="s">
        <v>-</v>
        <stp/>
        <stp>WDOG24_F_0</stp>
        <stp>BLACK</stp>
        <tr r="BY53" s="2"/>
        <tr r="AO51" s="5"/>
      </tp>
      <tp t="s">
        <v>-</v>
        <stp/>
        <stp>WDOM24_F_0</stp>
        <stp>BLACK</stp>
        <tr r="BY49" s="2"/>
        <tr r="AO47" s="5"/>
      </tp>
      <tp t="s">
        <v>-</v>
        <stp/>
        <stp>WDON24_F_0</stp>
        <stp>BLACK</stp>
        <tr r="BY50" s="2"/>
        <tr r="AO48" s="5"/>
      </tp>
      <tp t="s">
        <v>-</v>
        <stp/>
        <stp>WDOH24_F_0</stp>
        <stp>BLACK</stp>
        <tr r="BY52" s="2"/>
        <tr r="AO50" s="5"/>
      </tp>
      <tp t="s">
        <v>-</v>
        <stp/>
        <stp>WDOK24_F_0</stp>
        <stp>BLACK</stp>
        <tr r="BY39" s="2"/>
        <tr r="AO37" s="5"/>
      </tp>
      <tp t="s">
        <v>-</v>
        <stp/>
        <stp>WDOJ24_F_0</stp>
        <stp>BLACK</stp>
        <tr r="BY51" s="2"/>
        <tr r="AO49" s="5"/>
      </tp>
      <tp t="s">
        <v>-</v>
        <stp/>
        <stp>WDOU24_F_0</stp>
        <stp>BLACK</stp>
        <tr r="BY55" s="2"/>
        <tr r="AO53" s="5"/>
      </tp>
      <tp t="s">
        <v>-</v>
        <stp/>
        <stp>WDOV24_F_0</stp>
        <stp>BLACK</stp>
        <tr r="BY57" s="2"/>
        <tr r="AO55" s="5"/>
      </tp>
      <tp t="s">
        <v>-</v>
        <stp/>
        <stp>WDOQ24_F_0</stp>
        <stp>BLACK</stp>
        <tr r="BY54" s="2"/>
        <tr r="AO52" s="5"/>
      </tp>
      <tp t="s">
        <v>-</v>
        <stp/>
        <stp>WDOX24_F_0</stp>
        <stp>BLACK</stp>
        <tr r="BY56" s="2"/>
        <tr r="AO54" s="5"/>
      </tp>
      <tp>
        <v>-34.529702970297024</v>
        <stp/>
        <stp>RAPT4_B_0</stp>
        <stp>3M</stp>
        <tr r="BO76" s="2"/>
        <tr r="AE74" s="5"/>
      </tp>
      <tp>
        <v>-10.507119675828378</v>
        <stp/>
        <stp>WDOFUTV_F_0</stp>
        <stp>6M</stp>
        <tr r="AF45" s="5"/>
        <tr r="BP47" s="2"/>
      </tp>
      <tp>
        <v>-33.361886526252142</v>
        <stp/>
        <stp>RAPT4_B_0</stp>
        <stp>6M</stp>
        <tr r="BP76" s="2"/>
        <tr r="AF74" s="5"/>
      </tp>
      <tp>
        <v>-3.7179534582847582</v>
        <stp/>
        <stp>WDOFUTV_F_0</stp>
        <stp>3M</stp>
        <tr r="BO47" s="2"/>
        <tr r="AE45" s="5"/>
      </tp>
      <tp>
        <v>-42.483660130718953</v>
        <stp/>
        <stp>RAIZ4_B_0</stp>
        <stp>3M</stp>
        <tr r="BO77" s="2"/>
        <tr r="AE75" s="5"/>
      </tp>
      <tp>
        <v>-11.615871190339272</v>
        <stp/>
        <stp>RAIL3_B_0</stp>
        <stp>3M</stp>
        <tr r="BO60" s="2"/>
        <tr r="AE58" s="5"/>
      </tp>
      <tp>
        <v>-34.595959595959599</v>
        <stp/>
        <stp>JALL3_B_0</stp>
        <stp>6M</stp>
        <tr r="AF67" s="5"/>
        <tr r="BP69" s="2"/>
      </tp>
      <tp>
        <v>14.652932620534282</v>
        <stp/>
        <stp>VALE3_B_0</stp>
        <stp>6M</stp>
        <tr r="BP12" s="2"/>
        <tr r="AF10" s="5"/>
      </tp>
      <tp>
        <v>-40.45174537987679</v>
        <stp/>
        <stp>VAMO3_B_0</stp>
        <stp>6M</stp>
        <tr r="BP74" s="2"/>
        <tr r="AF72" s="5"/>
      </tp>
      <tp>
        <v>26.847163377079674</v>
        <stp/>
        <stp>CAML3_B_0</stp>
        <stp>6M</stp>
        <tr r="BP83" s="2"/>
        <tr r="AF81" s="5"/>
      </tp>
      <tp>
        <v>31.543783591175</v>
        <stp/>
        <stp>RANI3_B_0</stp>
        <stp>6M</stp>
        <tr r="BP85" s="2"/>
        <tr r="AF83" s="5"/>
        <tr r="BP92" s="2"/>
        <tr r="BP91" s="2"/>
        <tr r="BP89" s="2"/>
        <tr r="BP87" s="2"/>
        <tr r="BP90" s="2"/>
        <tr r="BP88" s="2"/>
        <tr r="BP86" s="2"/>
      </tp>
      <tp>
        <v>-26.767676767676768</v>
        <stp/>
        <stp>VAMO3_B_0</stp>
        <stp>3M</stp>
        <tr r="BO74" s="2"/>
        <tr r="AE72" s="5"/>
      </tp>
      <tp>
        <v>-4.8836713740532032</v>
        <stp/>
        <stp>CAML3_B_0</stp>
        <stp>3M</stp>
        <tr r="BO83" s="2"/>
        <tr r="AE81" s="5"/>
      </tp>
      <tp>
        <v>-50</v>
        <stp/>
        <stp>RAIZ4_B_0</stp>
        <stp>6M</stp>
        <tr r="BP77" s="2"/>
        <tr r="AF75" s="5"/>
      </tp>
      <tp>
        <v>-9.7512139841580119</v>
        <stp/>
        <stp>RAIL3_B_0</stp>
        <stp>6M</stp>
        <tr r="BP60" s="2"/>
        <tr r="AF58" s="5"/>
      </tp>
      <tp>
        <v>-27.450980392156861</v>
        <stp/>
        <stp>JALL3_B_0</stp>
        <stp>3M</stp>
        <tr r="AE67" s="5"/>
        <tr r="BO69" s="2"/>
      </tp>
      <tp>
        <v>11.132190578222181</v>
        <stp/>
        <stp>VALE3_B_0</stp>
        <stp>3M</stp>
        <tr r="BO12" s="2"/>
        <tr r="AE10" s="5"/>
      </tp>
      <tp>
        <v>24.29679718298004</v>
        <stp/>
        <stp>RANI3_B_0</stp>
        <stp>3M</stp>
        <tr r="BO85" s="2"/>
        <tr r="AE83" s="5"/>
        <tr r="BO92" s="2"/>
        <tr r="BO91" s="2"/>
        <tr r="BO87" s="2"/>
        <tr r="BO89" s="2"/>
        <tr r="BO90" s="2"/>
        <tr r="BO88" s="2"/>
        <tr r="BO86" s="2"/>
      </tp>
      <tp>
        <v>2.3969408692408134</v>
        <stp/>
        <stp>WDOFUTV_F_0</stp>
        <stp>TRIM</stp>
        <tr r="AI45" s="5"/>
        <tr r="BS47" s="2"/>
      </tp>
      <tp t="s">
        <v>-</v>
        <stp/>
        <stp>KLBN11_B_0</stp>
        <stp>IMPVT</stp>
        <tr r="BZ82" s="2"/>
        <tr r="AP80" s="5"/>
      </tp>
      <tp t="s">
        <v>-</v>
        <stp/>
        <stp>WINQ24_F_0</stp>
        <stp>IMPVT</stp>
        <tr r="BZ41" s="2"/>
        <tr r="AP39" s="5"/>
      </tp>
      <tp t="s">
        <v>-</v>
        <stp/>
        <stp>WINV24_F_0</stp>
        <stp>IMPVT</stp>
        <tr r="AP42" s="5"/>
        <tr r="BZ44" s="2"/>
      </tp>
      <tp t="s">
        <v>-</v>
        <stp/>
        <stp>WINZ24_F_0</stp>
        <stp>IMPVT</stp>
        <tr r="BZ43" s="2"/>
        <tr r="AP41" s="5"/>
      </tp>
      <tp t="s">
        <v>-</v>
        <stp/>
        <stp>WING24_F_0</stp>
        <stp>IMPVT</stp>
        <tr r="BZ42" s="2"/>
        <tr r="AP40" s="5"/>
      </tp>
      <tp t="s">
        <v>-</v>
        <stp/>
        <stp>WINJ24_F_0</stp>
        <stp>IMPVT</stp>
        <tr r="BZ38" s="2"/>
        <tr r="AP36" s="5"/>
      </tp>
      <tp t="s">
        <v>-</v>
        <stp/>
        <stp>WINM24_F_0</stp>
        <stp>IMPVT</stp>
        <tr r="AP38" s="5"/>
        <tr r="BZ40" s="2"/>
      </tp>
      <tp>
        <v>0</v>
        <stp/>
        <stp>INDM24_F_0</stp>
        <stp>3M</stp>
        <tr r="AE43" s="5"/>
        <tr r="BO45" s="2"/>
      </tp>
      <tp>
        <v>0</v>
        <stp/>
        <stp>INDM24_F_0</stp>
        <stp>6M</stp>
        <tr r="BP45" s="2"/>
        <tr r="AF43" s="5"/>
      </tp>
      <tp>
        <v>1.1477622472720947</v>
        <stp/>
        <stp>INDFUT_F_0</stp>
        <stp>3M</stp>
        <tr r="AE15" s="5"/>
        <tr r="BO17" s="2"/>
      </tp>
      <tp>
        <v>3.1480611528181943</v>
        <stp/>
        <stp>INDFUT_F_0</stp>
        <stp>6M</stp>
        <tr r="BP17" s="2"/>
        <tr r="AF15" s="5"/>
      </tp>
      <tp>
        <v>-30.660377358490571</v>
        <stp/>
        <stp>RCSL3_B_0</stp>
        <stp>3M</stp>
        <tr r="BO65" s="2"/>
        <tr r="AE63" s="5"/>
      </tp>
      <tp>
        <v>-45.555555555555557</v>
        <stp/>
        <stp>RCSL3_B_0</stp>
        <stp>6M</stp>
        <tr r="BP65" s="2"/>
        <tr r="AF63" s="5"/>
      </tp>
      <tp>
        <v>28.14542695020782</v>
        <stp/>
        <stp>ECOR3_B_0</stp>
        <stp>6M</stp>
        <tr r="BP7" s="2"/>
        <tr r="AF5" s="5"/>
      </tp>
      <tp>
        <v>13.058827109772055</v>
        <stp/>
        <stp>ECOR3_B_0</stp>
        <stp>3M</stp>
        <tr r="BO7" s="2"/>
        <tr r="AE5" s="5"/>
      </tp>
      <tp>
        <v>17.812499999999996</v>
        <stp/>
        <stp>PCAR3_B_0</stp>
        <stp>3M</stp>
        <tr r="BO70" s="2"/>
        <tr r="AE68" s="5"/>
      </tp>
      <tp>
        <v>-1.0498687664042003</v>
        <stp/>
        <stp>PCAR3_B_0</stp>
        <stp>6M</stp>
        <tr r="BP70" s="2"/>
        <tr r="AF68" s="5"/>
      </tp>
      <tp>
        <v>0</v>
        <stp/>
        <stp>JBSS3_B_0</stp>
        <stp>3M</stp>
        <tr r="BO64" s="2"/>
        <tr r="AE62" s="5"/>
      </tp>
      <tp>
        <v>8.5959885386819419</v>
        <stp/>
        <stp>HBSA3_B_0</stp>
        <stp>3M</stp>
        <tr r="BO58" s="2"/>
        <tr r="AE56" s="5"/>
      </tp>
      <tp>
        <v>0</v>
        <stp/>
        <stp>JBSS3_B_0</stp>
        <stp>6M</stp>
        <tr r="BP64" s="2"/>
        <tr r="AF62" s="5"/>
      </tp>
      <tp>
        <v>67.699115044247776</v>
        <stp/>
        <stp>HBSA3_B_0</stp>
        <stp>6M</stp>
        <tr r="BP58" s="2"/>
        <tr r="AF56" s="5"/>
      </tp>
      <tp>
        <v>9.6711798839456353E-2</v>
        <stp/>
        <stp>BBAS3_B_0</stp>
        <stp>3M</stp>
        <tr r="BO14" s="2"/>
        <tr r="AE12" s="5"/>
      </tp>
      <tp>
        <v>40.884386134874624</v>
        <stp/>
        <stp>BBDC4_B_0</stp>
        <stp>6M</stp>
        <tr r="BP27" s="2"/>
        <tr r="AF25" s="5"/>
      </tp>
      <tp>
        <v>-8.8750415923046688</v>
        <stp/>
        <stp>ABEV3_B_0</stp>
        <stp>6M</stp>
        <tr r="BP20" s="2"/>
        <tr r="AF18" s="5"/>
      </tp>
      <tp>
        <v>-8.392884293750944</v>
        <stp/>
        <stp>ABEV3_B_0</stp>
        <stp>3M</stp>
        <tr r="AE18" s="5"/>
        <tr r="BO20" s="2"/>
      </tp>
      <tp>
        <v>-24.366708197991152</v>
        <stp/>
        <stp>BBAS3_B_0</stp>
        <stp>6M</stp>
        <tr r="BP14" s="2"/>
        <tr r="AF12" s="5"/>
      </tp>
      <tp>
        <v>8.3648029099359675</v>
        <stp/>
        <stp>BBDC4_B_0</stp>
        <stp>3M</stp>
        <tr r="BO27" s="2"/>
        <tr r="AE25" s="5"/>
      </tp>
      <tp>
        <v>1.1660039091460539</v>
        <stp/>
        <stp>PETR4_B_0</stp>
        <stp>6M</stp>
        <tr r="BP11" s="2"/>
        <tr r="AF9" s="5"/>
      </tp>
      <tp>
        <v>-4.9852586437952269</v>
        <stp/>
        <stp>KEPL3_B_0</stp>
        <stp>3M</stp>
        <tr r="BO73" s="2"/>
        <tr r="AE71" s="5"/>
      </tp>
      <tp>
        <v>-2.6834122572232513</v>
        <stp/>
        <stp>KEPL3_B_0</stp>
        <stp>6M</stp>
        <tr r="BP73" s="2"/>
        <tr r="AF71" s="5"/>
      </tp>
      <tp>
        <v>-4.8820055258421746</v>
        <stp/>
        <stp>PETR4_B_0</stp>
        <stp>3M</stp>
        <tr r="BO11" s="2"/>
        <tr r="AE9" s="5"/>
      </tp>
      <tp>
        <v>-4.9685524593725301</v>
        <stp/>
        <stp>RENT3_B_0</stp>
        <stp>6M</stp>
        <tr r="BP24" s="2"/>
        <tr r="AF22" s="5"/>
      </tp>
      <tp>
        <v>-0.53572616961333808</v>
        <stp/>
        <stp>RENT3_B_0</stp>
        <stp>3M</stp>
        <tr r="BO24" s="2"/>
        <tr r="AE22" s="5"/>
      </tp>
      <tp>
        <v>17.430020931635145</v>
        <stp/>
        <stp>BEEF3_B_0</stp>
        <stp>6M</stp>
        <tr r="AF65" s="5"/>
        <tr r="BP67" s="2"/>
      </tp>
      <tp>
        <v>26.095238095238098</v>
        <stp/>
        <stp>BEEF3_B_0</stp>
        <stp>3M</stp>
        <tr r="AE65" s="5"/>
        <tr r="BO67" s="2"/>
      </tp>
      <tp>
        <v>10.032286560816782</v>
        <stp/>
        <stp>MDIA3_B_0</stp>
        <stp>3M</stp>
        <tr r="BO78" s="2"/>
        <tr r="AE76" s="5"/>
      </tp>
      <tp>
        <v>19.087909298587022</v>
        <stp/>
        <stp>MDIA3_B_0</stp>
        <stp>6M</stp>
        <tr r="BP78" s="2"/>
        <tr r="AF76" s="5"/>
      </tp>
      <tp t="s">
        <v>-</v>
        <stp/>
        <stp>INDM24_F_0</stp>
        <stp>IMPVT</stp>
        <tr r="BZ45" s="2"/>
        <tr r="AP43" s="5"/>
      </tp>
      <tp>
        <v>-1.515892420537891</v>
        <stp/>
        <stp>AGRO3_B_0</stp>
        <stp>3M</stp>
        <tr r="BO71" s="2"/>
        <tr r="AE69" s="5"/>
      </tp>
      <tp>
        <v>-8.6206896551724235</v>
        <stp/>
        <stp>AGRO3_B_0</stp>
        <stp>6M</stp>
        <tr r="BP71" s="2"/>
        <tr r="AF69" s="5"/>
      </tp>
      <tp>
        <v>-13.616686343959058</v>
        <stp/>
        <stp>MGLU3_B_0</stp>
        <stp>6M</stp>
        <tr r="BP35" s="2"/>
        <tr r="AF33" s="5"/>
      </tp>
      <tp>
        <v>10.440251572327055</v>
        <stp/>
        <stp>MGLU3_B_0</stp>
        <stp>3M</stp>
        <tr r="BO35" s="2"/>
        <tr r="AE33" s="5"/>
      </tp>
      <tp>
        <v>7.152797105482894</v>
        <stp/>
        <stp>GGBR4_B_0</stp>
        <stp>3M</stp>
        <tr r="BO13" s="2"/>
        <tr r="AE11" s="5"/>
      </tp>
      <tp>
        <v>22.519007395416089</v>
        <stp/>
        <stp>GGBR4_B_0</stp>
        <stp>6M</stp>
        <tr r="BP13" s="2"/>
        <tr r="AF11" s="5"/>
      </tp>
      <tp>
        <v>-64</v>
        <stp/>
        <stp>GFSA3_B_0</stp>
        <stp>3M</stp>
        <tr r="BO22" s="2"/>
        <tr r="AE20" s="5"/>
      </tp>
      <tp>
        <v>-80.862068965517238</v>
        <stp/>
        <stp>GFSA3_B_0</stp>
        <stp>6M</stp>
        <tr r="BP22" s="2"/>
        <tr r="AF20" s="5"/>
      </tp>
      <tp>
        <v>-1.0927970616908986</v>
        <stp/>
        <stp>KLBN11_B_0</stp>
        <stp>6M</stp>
        <tr r="BP82" s="2"/>
        <tr r="AF80" s="5"/>
      </tp>
      <tp>
        <v>-6.9248945237701616</v>
        <stp/>
        <stp>KLBN11_B_0</stp>
        <stp>3M</stp>
        <tr r="BO82" s="2"/>
        <tr r="AE80" s="5"/>
      </tp>
      <tp>
        <v>30.187964165047198</v>
        <stp/>
        <stp>VIVT3_B_0</stp>
        <stp>6M</stp>
        <tr r="BP9" s="2"/>
        <tr r="AF7" s="5"/>
      </tp>
      <tp>
        <v>4.6182357782054391</v>
        <stp/>
        <stp>VIVT3_B_0</stp>
        <stp>3M</stp>
        <tr r="BO9" s="2"/>
        <tr r="AE7" s="5"/>
      </tp>
      <tp>
        <v>0</v>
        <stp/>
        <stp>CIEL3_B_0</stp>
        <stp>6M</stp>
        <tr r="BP8" s="2"/>
        <tr r="AF6" s="5"/>
      </tp>
      <tp>
        <v>0</v>
        <stp/>
        <stp>CIEL3_B_0</stp>
        <stp>3M</stp>
        <tr r="BO8" s="2"/>
        <tr r="AE6" s="5"/>
      </tp>
      <tp>
        <v>5.5</v>
        <stp/>
        <stp>IFIX_B_0</stp>
        <stp>VARPTS</stp>
        <tr r="AW48" s="2"/>
        <tr r="M46" s="5"/>
      </tp>
      <tp>
        <v>-100.36999999999534</v>
        <stp/>
        <stp>IBOV_B_0</stp>
        <stp>VARPTS</stp>
        <tr r="AW6" s="2"/>
        <tr r="M4" s="5"/>
      </tp>
      <tp>
        <v>-1.515966989594546</v>
        <stp/>
        <stp>DOLPRO_#_0</stp>
        <stp>3M</stp>
        <tr r="BO46" s="2"/>
        <tr r="AE44" s="5"/>
      </tp>
      <tp>
        <v>-8.4604032004490897</v>
        <stp/>
        <stp>DOLPRO_#_0</stp>
        <stp>6M</stp>
        <tr r="BP46" s="2"/>
        <tr r="AF44" s="5"/>
      </tp>
      <tp>
        <v>-3.725892830715499</v>
        <stp/>
        <stp>DOLFUT_F_0</stp>
        <stp>3M</stp>
        <tr r="BO15" s="2"/>
        <tr r="AE13" s="5"/>
      </tp>
      <tp>
        <v>-10.594876512648334</v>
        <stp/>
        <stp>DOLFUT_F_0</stp>
        <stp>6M</stp>
        <tr r="BP15" s="2"/>
        <tr r="AF13" s="5"/>
      </tp>
      <tp>
        <v>0</v>
        <stp/>
        <stp>WDOX24_F_0</stp>
        <stp>6M</stp>
        <tr r="BP56" s="2"/>
        <tr r="AF54" s="5"/>
      </tp>
      <tp>
        <v>0</v>
        <stp/>
        <stp>WDOX24_F_0</stp>
        <stp>3M</stp>
        <tr r="BO56" s="2"/>
        <tr r="AE54" s="5"/>
      </tp>
      <tp>
        <v>0</v>
        <stp/>
        <stp>WDOV24_F_0</stp>
        <stp>3M</stp>
        <tr r="BO57" s="2"/>
        <tr r="AE55" s="5"/>
      </tp>
      <tp>
        <v>0</v>
        <stp/>
        <stp>WDOU24_F_0</stp>
        <stp>3M</stp>
        <tr r="BO55" s="2"/>
        <tr r="AE53" s="5"/>
      </tp>
      <tp>
        <v>0</v>
        <stp/>
        <stp>WDOQ24_F_0</stp>
        <stp>6M</stp>
        <tr r="BP54" s="2"/>
        <tr r="AF52" s="5"/>
      </tp>
      <tp>
        <v>0</v>
        <stp/>
        <stp>WDOV24_F_0</stp>
        <stp>6M</stp>
        <tr r="BP57" s="2"/>
        <tr r="AF55" s="5"/>
      </tp>
      <tp>
        <v>0</v>
        <stp/>
        <stp>WDOQ24_F_0</stp>
        <stp>3M</stp>
        <tr r="AE52" s="5"/>
        <tr r="BO54" s="2"/>
      </tp>
      <tp>
        <v>0</v>
        <stp/>
        <stp>WDOU24_F_0</stp>
        <stp>6M</stp>
        <tr r="BP55" s="2"/>
        <tr r="AF53" s="5"/>
      </tp>
      <tp>
        <v>0</v>
        <stp/>
        <stp>WDOJ24_F_0</stp>
        <stp>6M</stp>
        <tr r="BP51" s="2"/>
        <tr r="AF49" s="5"/>
      </tp>
      <tp>
        <v>0</v>
        <stp/>
        <stp>WDOK24_F_0</stp>
        <stp>6M</stp>
        <tr r="BP39" s="2"/>
        <tr r="AF37" s="5"/>
      </tp>
      <tp>
        <v>0</v>
        <stp/>
        <stp>WDON24_F_0</stp>
        <stp>3M</stp>
        <tr r="BO50" s="2"/>
        <tr r="AE48" s="5"/>
      </tp>
      <tp>
        <v>0</v>
        <stp/>
        <stp>WDOH24_F_0</stp>
        <stp>6M</stp>
        <tr r="BP52" s="2"/>
        <tr r="AF50" s="5"/>
      </tp>
      <tp>
        <v>0</v>
        <stp/>
        <stp>WDOM24_F_0</stp>
        <stp>3M</stp>
        <tr r="BO49" s="2"/>
        <tr r="AE47" s="5"/>
      </tp>
      <tp>
        <v>0</v>
        <stp/>
        <stp>WDOK24_F_0</stp>
        <stp>3M</stp>
        <tr r="BO39" s="2"/>
        <tr r="AE37" s="5"/>
      </tp>
      <tp>
        <v>0</v>
        <stp/>
        <stp>WDON24_F_0</stp>
        <stp>6M</stp>
        <tr r="BP50" s="2"/>
        <tr r="AF48" s="5"/>
      </tp>
      <tp>
        <v>0</v>
        <stp/>
        <stp>WDOJ24_F_0</stp>
        <stp>3M</stp>
        <tr r="BO51" s="2"/>
        <tr r="AE49" s="5"/>
      </tp>
      <tp>
        <v>0</v>
        <stp/>
        <stp>WDOH24_F_0</stp>
        <stp>3M</stp>
        <tr r="BO52" s="2"/>
        <tr r="AE50" s="5"/>
      </tp>
      <tp>
        <v>0</v>
        <stp/>
        <stp>WDOM24_F_0</stp>
        <stp>6M</stp>
        <tr r="BP49" s="2"/>
        <tr r="AF47" s="5"/>
      </tp>
      <tp>
        <v>0</v>
        <stp/>
        <stp>WDOG24_F_0</stp>
        <stp>3M</stp>
        <tr r="BO53" s="2"/>
        <tr r="AE51" s="5"/>
      </tp>
      <tp>
        <v>-3.7179534582847582</v>
        <stp/>
        <stp>WDOFUT_F_0</stp>
        <stp>3M</stp>
        <tr r="BO37" s="2"/>
        <tr r="AE35" s="5"/>
      </tp>
      <tp>
        <v>-10.507119675828378</v>
        <stp/>
        <stp>WDOFUT_F_0</stp>
        <stp>6M</stp>
        <tr r="BP37" s="2"/>
        <tr r="AF35" s="5"/>
      </tp>
      <tp>
        <v>0</v>
        <stp/>
        <stp>WDOG24_F_0</stp>
        <stp>6M</stp>
        <tr r="BP53" s="2"/>
        <tr r="AF51" s="5"/>
      </tp>
      <tp t="s">
        <v>-</v>
        <stp/>
        <stp>IBOV_B_0</stp>
        <stp>DOBRAR</stp>
        <tr r="CH6" s="2"/>
        <tr r="AX4" s="5"/>
      </tp>
      <tp t="s">
        <v>-</v>
        <stp/>
        <stp>IFIX_B_0</stp>
        <stp>DOBRAR</stp>
        <tr r="AX46" s="5"/>
        <tr r="CH48" s="2"/>
      </tp>
      <tp>
        <v>0</v>
        <stp/>
        <stp>WINZ24_F_0</stp>
        <stp>6M</stp>
        <tr r="BP43" s="2"/>
        <tr r="AF41" s="5"/>
      </tp>
      <tp>
        <v>0</v>
        <stp/>
        <stp>WINZ24_F_0</stp>
        <stp>3M</stp>
        <tr r="BO43" s="2"/>
        <tr r="AE41" s="5"/>
      </tp>
      <tp>
        <v>0</v>
        <stp/>
        <stp>WINV24_F_0</stp>
        <stp>3M</stp>
        <tr r="BO44" s="2"/>
        <tr r="AE42" s="5"/>
      </tp>
      <tp>
        <v>0</v>
        <stp/>
        <stp>WINQ24_F_0</stp>
        <stp>6M</stp>
        <tr r="BP41" s="2"/>
        <tr r="AF39" s="5"/>
      </tp>
      <tp>
        <v>0</v>
        <stp/>
        <stp>WINV24_F_0</stp>
        <stp>6M</stp>
        <tr r="BP44" s="2"/>
        <tr r="AF42" s="5"/>
      </tp>
      <tp>
        <v>0</v>
        <stp/>
        <stp>WINQ24_F_0</stp>
        <stp>3M</stp>
        <tr r="BO41" s="2"/>
        <tr r="AE39" s="5"/>
      </tp>
      <tp>
        <v>0</v>
        <stp/>
        <stp>WINJ24_F_0</stp>
        <stp>6M</stp>
        <tr r="BP38" s="2"/>
        <tr r="AF36" s="5"/>
      </tp>
      <tp>
        <v>0</v>
        <stp/>
        <stp>WINM24_F_0</stp>
        <stp>3M</stp>
        <tr r="BO40" s="2"/>
        <tr r="AE38" s="5"/>
      </tp>
      <tp>
        <v>0</v>
        <stp/>
        <stp>WINJ24_F_0</stp>
        <stp>3M</stp>
        <tr r="AE36" s="5"/>
        <tr r="BO38" s="2"/>
      </tp>
      <tp>
        <v>0</v>
        <stp/>
        <stp>WINM24_F_0</stp>
        <stp>6M</stp>
        <tr r="BP40" s="2"/>
        <tr r="AF38" s="5"/>
      </tp>
      <tp>
        <v>0</v>
        <stp/>
        <stp>WING24_F_0</stp>
        <stp>3M</stp>
        <tr r="BO42" s="2"/>
        <tr r="AE40" s="5"/>
      </tp>
      <tp>
        <v>1.0276461514896746</v>
        <stp/>
        <stp>WINFUT_F_0</stp>
        <stp>3M</stp>
        <tr r="BO36" s="2"/>
        <tr r="AE34" s="5"/>
      </tp>
      <tp>
        <v>3.1069087756441109</v>
        <stp/>
        <stp>WINFUT_F_0</stp>
        <stp>6M</stp>
        <tr r="AF34" s="5"/>
        <tr r="BP36" s="2"/>
      </tp>
      <tp>
        <v>0</v>
        <stp/>
        <stp>WING24_F_0</stp>
        <stp>6M</stp>
        <tr r="BP42" s="2"/>
        <tr r="AF40" s="5"/>
      </tp>
      <tp t="s">
        <v>-</v>
        <stp/>
        <stp>WDOQ24_F_0</stp>
        <stp>IMPVT</stp>
        <tr r="BZ54" s="2"/>
        <tr r="AP52" s="5"/>
      </tp>
      <tp t="s">
        <v>-</v>
        <stp/>
        <stp>WDOU24_F_0</stp>
        <stp>IMPVT</stp>
        <tr r="BZ55" s="2"/>
        <tr r="AP53" s="5"/>
      </tp>
      <tp t="s">
        <v>-</v>
        <stp/>
        <stp>WDOV24_F_0</stp>
        <stp>IMPVT</stp>
        <tr r="BZ57" s="2"/>
        <tr r="AP55" s="5"/>
      </tp>
      <tp t="s">
        <v>-</v>
        <stp/>
        <stp>WDOX24_F_0</stp>
        <stp>IMPVT</stp>
        <tr r="BZ56" s="2"/>
        <tr r="AP54" s="5"/>
      </tp>
      <tp t="s">
        <v>-</v>
        <stp/>
        <stp>WDOG24_F_0</stp>
        <stp>IMPVT</stp>
        <tr r="BZ53" s="2"/>
        <tr r="AP51" s="5"/>
      </tp>
      <tp t="s">
        <v>-</v>
        <stp/>
        <stp>WDOH24_F_0</stp>
        <stp>IMPVT</stp>
        <tr r="BZ52" s="2"/>
        <tr r="AP50" s="5"/>
      </tp>
      <tp t="s">
        <v>-</v>
        <stp/>
        <stp>WDOK24_F_0</stp>
        <stp>IMPVT</stp>
        <tr r="AP37" s="5"/>
        <tr r="BZ39" s="2"/>
      </tp>
      <tp t="s">
        <v>-</v>
        <stp/>
        <stp>WDOJ24_F_0</stp>
        <stp>IMPVT</stp>
        <tr r="BZ51" s="2"/>
        <tr r="AP49" s="5"/>
      </tp>
      <tp t="s">
        <v>-</v>
        <stp/>
        <stp>WDOM24_F_0</stp>
        <stp>IMPVT</stp>
        <tr r="BZ49" s="2"/>
        <tr r="AP47" s="5"/>
      </tp>
      <tp t="s">
        <v>-</v>
        <stp/>
        <stp>WDON24_F_0</stp>
        <stp>IMPVT</stp>
        <tr r="BZ50" s="2"/>
        <tr r="AP48" s="5"/>
      </tp>
      <tp>
        <v>-20.776137464938945</v>
        <stp/>
        <stp>SMTO3_B_0</stp>
        <stp>6M</stp>
        <tr r="AF64" s="5"/>
        <tr r="BP66" s="2"/>
      </tp>
      <tp>
        <v>-7.980392974347664</v>
        <stp/>
        <stp>SMTO3_B_0</stp>
        <stp>3M</stp>
        <tr r="AE64" s="5"/>
        <tr r="BO66" s="2"/>
      </tp>
      <tp>
        <v>2.1906160035080449</v>
        <stp/>
        <stp>CMIG4_B_0</stp>
        <stp>3M</stp>
        <tr r="BO23" s="2"/>
        <tr r="AE21" s="5"/>
      </tp>
      <tp>
        <v>16.573690449004456</v>
        <stp/>
        <stp>CMIG4_B_0</stp>
        <stp>6M</stp>
        <tr r="BP23" s="2"/>
        <tr r="AF21" s="5"/>
      </tp>
      <tp>
        <v>-19.280292674035596</v>
        <stp/>
        <stp>GMAT3_B_0</stp>
        <stp>3M</stp>
        <tr r="BO59" s="2"/>
        <tr r="AE57" s="5"/>
      </tp>
      <tp>
        <v>12.235198261814238</v>
        <stp/>
        <stp>EMBR3_B_0</stp>
        <stp>3M</stp>
        <tr r="BO26" s="2"/>
        <tr r="AE24" s="5"/>
      </tp>
      <tp>
        <v>-16.768468674068014</v>
        <stp/>
        <stp>GMAT3_B_0</stp>
        <stp>6M</stp>
        <tr r="BP59" s="2"/>
        <tr r="AF57" s="5"/>
      </tp>
      <tp>
        <v>36.279319015623074</v>
        <stp/>
        <stp>EMBR3_B_0</stp>
        <stp>6M</stp>
        <tr r="BP26" s="2"/>
        <tr r="AF24" s="5"/>
      </tp>
      <tp>
        <v>-13.506063947078276</v>
        <stp/>
        <stp>SLCE3_B_0</stp>
        <stp>3M</stp>
        <tr r="BO79" s="2"/>
        <tr r="AE77" s="5"/>
      </tp>
      <tp>
        <v>-19.793477149575704</v>
        <stp/>
        <stp>SLCE3_B_0</stp>
        <stp>6M</stp>
        <tr r="BP79" s="2"/>
        <tr r="AF77" s="5"/>
      </tp>
      <tp>
        <v>-1.1027361528359794</v>
        <stp/>
        <stp>DOLPT_E_0</stp>
        <stp>3M</stp>
        <tr r="BO16" s="2"/>
        <tr r="AE14" s="5"/>
      </tp>
      <tp>
        <v>-6.3935570652636553</v>
        <stp/>
        <stp>DOLPT_E_0</stp>
        <stp>6M</stp>
        <tr r="BP16" s="2"/>
        <tr r="AF14" s="5"/>
      </tp>
      <tp>
        <v>10.844103829750376</v>
        <stp/>
        <stp>GOAU4_B_0</stp>
        <stp>3M</stp>
        <tr r="BO19" s="2"/>
        <tr r="AE17" s="5"/>
      </tp>
      <tp>
        <v>27.825837296683254</v>
        <stp/>
        <stp>GOAU4_B_0</stp>
        <stp>6M</stp>
        <tr r="BP19" s="2"/>
        <tr r="AF17" s="5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rgbClr val="FFC000"/>
                </a:solidFill>
              </a:rPr>
              <a:t>Var% das ações do IBOV</a:t>
            </a:r>
          </a:p>
        </c:rich>
      </c:tx>
      <c:overlay val="0"/>
      <c:spPr>
        <a:solidFill>
          <a:schemeClr val="tx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dados!$U$4</c:f>
              <c:strCache>
                <c:ptCount val="1"/>
                <c:pt idx="0">
                  <c:v>Maior</c:v>
                </c:pt>
              </c:strCache>
            </c:strRef>
          </c:tx>
          <c:spPr>
            <a:solidFill>
              <a:srgbClr val="4E95D9"/>
            </a:solidFill>
            <a:ln>
              <a:noFill/>
            </a:ln>
            <a:effectLst/>
          </c:spPr>
          <c:invertIfNegative val="1"/>
          <c:dPt>
            <c:idx val="8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B86-4AB3-9EA8-494363D6AD47}"/>
              </c:ext>
            </c:extLst>
          </c:dPt>
          <c:cat>
            <c:strRef>
              <c:f>dados!$T$5:$T$91</c:f>
              <c:strCache>
                <c:ptCount val="83"/>
                <c:pt idx="1">
                  <c:v>EMBR3</c:v>
                </c:pt>
                <c:pt idx="2">
                  <c:v>RAIZ4</c:v>
                </c:pt>
                <c:pt idx="3">
                  <c:v>USIM5</c:v>
                </c:pt>
                <c:pt idx="4">
                  <c:v>BEEF3</c:v>
                </c:pt>
                <c:pt idx="5">
                  <c:v>MGLU3</c:v>
                </c:pt>
                <c:pt idx="6">
                  <c:v>ASAI3</c:v>
                </c:pt>
                <c:pt idx="7">
                  <c:v>ABEV3</c:v>
                </c:pt>
                <c:pt idx="8">
                  <c:v>BBDC4</c:v>
                </c:pt>
                <c:pt idx="9">
                  <c:v>CEAB3</c:v>
                </c:pt>
                <c:pt idx="10">
                  <c:v>AZZA3</c:v>
                </c:pt>
                <c:pt idx="11">
                  <c:v>LREN3</c:v>
                </c:pt>
                <c:pt idx="12">
                  <c:v>BRKM5</c:v>
                </c:pt>
                <c:pt idx="13">
                  <c:v>CPFE3</c:v>
                </c:pt>
                <c:pt idx="14">
                  <c:v>RDOR3</c:v>
                </c:pt>
                <c:pt idx="15">
                  <c:v>SBSP3</c:v>
                </c:pt>
                <c:pt idx="16">
                  <c:v>BBDC3</c:v>
                </c:pt>
                <c:pt idx="17">
                  <c:v>CMIN3</c:v>
                </c:pt>
                <c:pt idx="18">
                  <c:v>RADL3</c:v>
                </c:pt>
                <c:pt idx="19">
                  <c:v>CSNA3</c:v>
                </c:pt>
                <c:pt idx="20">
                  <c:v>ITUB4</c:v>
                </c:pt>
                <c:pt idx="21">
                  <c:v>SMFT3</c:v>
                </c:pt>
                <c:pt idx="22">
                  <c:v>CMIG4</c:v>
                </c:pt>
                <c:pt idx="23">
                  <c:v>TIMS3</c:v>
                </c:pt>
                <c:pt idx="24">
                  <c:v>CURY3</c:v>
                </c:pt>
                <c:pt idx="25">
                  <c:v>MRVE3</c:v>
                </c:pt>
                <c:pt idx="26">
                  <c:v>SLCE3</c:v>
                </c:pt>
                <c:pt idx="27">
                  <c:v>CSAN3</c:v>
                </c:pt>
                <c:pt idx="28">
                  <c:v>ITSA4</c:v>
                </c:pt>
                <c:pt idx="29">
                  <c:v>BBSE3</c:v>
                </c:pt>
                <c:pt idx="30">
                  <c:v>VIVT3</c:v>
                </c:pt>
                <c:pt idx="31">
                  <c:v>VIVA3</c:v>
                </c:pt>
                <c:pt idx="32">
                  <c:v>VALE3</c:v>
                </c:pt>
                <c:pt idx="33">
                  <c:v>CVCB3</c:v>
                </c:pt>
                <c:pt idx="34">
                  <c:v>GGBR4</c:v>
                </c:pt>
                <c:pt idx="35">
                  <c:v>PETR3</c:v>
                </c:pt>
                <c:pt idx="36">
                  <c:v>CXSE3</c:v>
                </c:pt>
                <c:pt idx="37">
                  <c:v>GOAU4</c:v>
                </c:pt>
                <c:pt idx="38">
                  <c:v>PSSA3</c:v>
                </c:pt>
                <c:pt idx="39">
                  <c:v>DIRR3</c:v>
                </c:pt>
                <c:pt idx="40">
                  <c:v>ISAE4</c:v>
                </c:pt>
                <c:pt idx="41">
                  <c:v>HYPE3</c:v>
                </c:pt>
                <c:pt idx="42">
                  <c:v>CPLE6</c:v>
                </c:pt>
                <c:pt idx="43">
                  <c:v>ENGI11</c:v>
                </c:pt>
                <c:pt idx="44">
                  <c:v>ELET3</c:v>
                </c:pt>
                <c:pt idx="45">
                  <c:v>EQTL3</c:v>
                </c:pt>
                <c:pt idx="46">
                  <c:v>TOTS3</c:v>
                </c:pt>
                <c:pt idx="47">
                  <c:v>KLBN11</c:v>
                </c:pt>
                <c:pt idx="48">
                  <c:v>MULT3</c:v>
                </c:pt>
                <c:pt idx="49">
                  <c:v>YDUQ3</c:v>
                </c:pt>
                <c:pt idx="50">
                  <c:v>SUZB3</c:v>
                </c:pt>
                <c:pt idx="51">
                  <c:v>TAEE11</c:v>
                </c:pt>
                <c:pt idx="52">
                  <c:v>VBBR3</c:v>
                </c:pt>
                <c:pt idx="53">
                  <c:v>CYRE3</c:v>
                </c:pt>
                <c:pt idx="54">
                  <c:v>BRAP4</c:v>
                </c:pt>
                <c:pt idx="55">
                  <c:v>MOTV3</c:v>
                </c:pt>
                <c:pt idx="56">
                  <c:v>RAIL3</c:v>
                </c:pt>
                <c:pt idx="57">
                  <c:v>FLRY3</c:v>
                </c:pt>
                <c:pt idx="58">
                  <c:v>PETR4</c:v>
                </c:pt>
                <c:pt idx="59">
                  <c:v>IGTI11</c:v>
                </c:pt>
                <c:pt idx="60">
                  <c:v>RENT3</c:v>
                </c:pt>
                <c:pt idx="61">
                  <c:v>POMO4</c:v>
                </c:pt>
                <c:pt idx="62">
                  <c:v>ELET6</c:v>
                </c:pt>
                <c:pt idx="63">
                  <c:v>BBAS3</c:v>
                </c:pt>
                <c:pt idx="64">
                  <c:v>IRBR3</c:v>
                </c:pt>
                <c:pt idx="65">
                  <c:v>VAMO3</c:v>
                </c:pt>
                <c:pt idx="66">
                  <c:v>ENEV3</c:v>
                </c:pt>
                <c:pt idx="67">
                  <c:v>SANB11</c:v>
                </c:pt>
                <c:pt idx="68">
                  <c:v>ALOS3</c:v>
                </c:pt>
                <c:pt idx="69">
                  <c:v>RECV3</c:v>
                </c:pt>
                <c:pt idx="70">
                  <c:v>B3SA3</c:v>
                </c:pt>
                <c:pt idx="71">
                  <c:v>WEGE3</c:v>
                </c:pt>
                <c:pt idx="72">
                  <c:v>UGPA3</c:v>
                </c:pt>
                <c:pt idx="73">
                  <c:v>PCAR3</c:v>
                </c:pt>
                <c:pt idx="74">
                  <c:v>BPAC11</c:v>
                </c:pt>
                <c:pt idx="75">
                  <c:v>HAPV3</c:v>
                </c:pt>
                <c:pt idx="76">
                  <c:v>AURE3</c:v>
                </c:pt>
                <c:pt idx="77">
                  <c:v>PRIO3</c:v>
                </c:pt>
                <c:pt idx="78">
                  <c:v>NATU3</c:v>
                </c:pt>
                <c:pt idx="79">
                  <c:v>BRAV3</c:v>
                </c:pt>
                <c:pt idx="80">
                  <c:v>EGIE3</c:v>
                </c:pt>
                <c:pt idx="81">
                  <c:v>MBRF3</c:v>
                </c:pt>
                <c:pt idx="82">
                  <c:v>COGN3</c:v>
                </c:pt>
              </c:strCache>
            </c:strRef>
          </c:cat>
          <c:val>
            <c:numRef>
              <c:f>dados!$U$5:$U$91</c:f>
              <c:numCache>
                <c:formatCode>0.00%</c:formatCode>
                <c:ptCount val="87"/>
                <c:pt idx="1">
                  <c:v>4.8886868020304675E-2</c:v>
                </c:pt>
                <c:pt idx="2">
                  <c:v>3.5356117647058698E-2</c:v>
                </c:pt>
                <c:pt idx="3">
                  <c:v>2.8837061946902533E-2</c:v>
                </c:pt>
                <c:pt idx="4">
                  <c:v>2.4817801857585205E-2</c:v>
                </c:pt>
                <c:pt idx="5">
                  <c:v>2.0977232558139748E-2</c:v>
                </c:pt>
                <c:pt idx="6">
                  <c:v>1.7394304347826208E-2</c:v>
                </c:pt>
                <c:pt idx="7">
                  <c:v>1.6022236087689764E-2</c:v>
                </c:pt>
                <c:pt idx="8">
                  <c:v>1.4193397163120366E-2</c:v>
                </c:pt>
                <c:pt idx="9">
                  <c:v>1.4182130070830674E-2</c:v>
                </c:pt>
                <c:pt idx="10">
                  <c:v>1.3792510137875047E-2</c:v>
                </c:pt>
                <c:pt idx="11">
                  <c:v>1.2775844413012613E-2</c:v>
                </c:pt>
                <c:pt idx="12">
                  <c:v>1.2281938650306677E-2</c:v>
                </c:pt>
                <c:pt idx="13">
                  <c:v>1.1751969760166854E-2</c:v>
                </c:pt>
                <c:pt idx="14">
                  <c:v>1.1635327044025111E-2</c:v>
                </c:pt>
                <c:pt idx="15">
                  <c:v>1.0588759410669521E-2</c:v>
                </c:pt>
                <c:pt idx="16">
                  <c:v>1.0388622837370179E-2</c:v>
                </c:pt>
                <c:pt idx="17">
                  <c:v>5.3411489361701375E-3</c:v>
                </c:pt>
                <c:pt idx="18">
                  <c:v>4.8867372654154643E-3</c:v>
                </c:pt>
                <c:pt idx="19">
                  <c:v>4.8232425683711498E-3</c:v>
                </c:pt>
                <c:pt idx="20">
                  <c:v>4.3336945561813622E-3</c:v>
                </c:pt>
                <c:pt idx="21">
                  <c:v>4.1406612377849067E-3</c:v>
                </c:pt>
                <c:pt idx="22">
                  <c:v>3.7623183520599343E-3</c:v>
                </c:pt>
                <c:pt idx="23">
                  <c:v>3.6175281346921932E-3</c:v>
                </c:pt>
                <c:pt idx="24">
                  <c:v>3.2750325203253542E-3</c:v>
                </c:pt>
                <c:pt idx="25">
                  <c:v>3.267434083601254E-3</c:v>
                </c:pt>
                <c:pt idx="26">
                  <c:v>2.6239105431309791E-3</c:v>
                </c:pt>
                <c:pt idx="27">
                  <c:v>1.7235775127767217E-3</c:v>
                </c:pt>
                <c:pt idx="28">
                  <c:v>9.510909090909705E-4</c:v>
                </c:pt>
                <c:pt idx="29">
                  <c:v>9.3149922958404147E-4</c:v>
                </c:pt>
                <c:pt idx="30">
                  <c:v>6.9177068484653232E-4</c:v>
                </c:pt>
                <c:pt idx="31">
                  <c:v>4.5037037037035424E-4</c:v>
                </c:pt>
                <c:pt idx="32">
                  <c:v>7.7000000000000001E-5</c:v>
                </c:pt>
                <c:pt idx="33">
                  <c:v>2.4000000000000001E-5</c:v>
                </c:pt>
                <c:pt idx="34">
                  <c:v>-5.2933408577882817E-4</c:v>
                </c:pt>
                <c:pt idx="35">
                  <c:v>-5.649251785158632E-4</c:v>
                </c:pt>
                <c:pt idx="36">
                  <c:v>-6.556908115358123E-4</c:v>
                </c:pt>
                <c:pt idx="37">
                  <c:v>-9.3960975609756183E-4</c:v>
                </c:pt>
                <c:pt idx="38">
                  <c:v>-1.2256224555389817E-3</c:v>
                </c:pt>
                <c:pt idx="39">
                  <c:v>-1.3345442176870542E-3</c:v>
                </c:pt>
                <c:pt idx="40">
                  <c:v>-1.6263614005835446E-3</c:v>
                </c:pt>
                <c:pt idx="41">
                  <c:v>-1.8294136321195078E-3</c:v>
                </c:pt>
                <c:pt idx="42">
                  <c:v>-3.1784420463628529E-3</c:v>
                </c:pt>
                <c:pt idx="43">
                  <c:v>-3.2895020746888958E-3</c:v>
                </c:pt>
                <c:pt idx="44">
                  <c:v>-3.6247393811262843E-3</c:v>
                </c:pt>
                <c:pt idx="45">
                  <c:v>-3.6403540548176124E-3</c:v>
                </c:pt>
                <c:pt idx="46">
                  <c:v>-3.8979626168224222E-3</c:v>
                </c:pt>
                <c:pt idx="47">
                  <c:v>-3.9514337899543726E-3</c:v>
                </c:pt>
                <c:pt idx="48">
                  <c:v>-3.9985653775322623E-3</c:v>
                </c:pt>
                <c:pt idx="49">
                  <c:v>-4.2395211754537023E-3</c:v>
                </c:pt>
                <c:pt idx="50">
                  <c:v>-4.4933685957270356E-3</c:v>
                </c:pt>
                <c:pt idx="51">
                  <c:v>-4.6486002220988299E-3</c:v>
                </c:pt>
                <c:pt idx="52">
                  <c:v>-4.9971421319797106E-3</c:v>
                </c:pt>
                <c:pt idx="53">
                  <c:v>-5.1527701070073735E-3</c:v>
                </c:pt>
                <c:pt idx="54">
                  <c:v>-5.1893067590987434E-3</c:v>
                </c:pt>
                <c:pt idx="55">
                  <c:v>-6.3775714285714503E-3</c:v>
                </c:pt>
                <c:pt idx="56">
                  <c:v>-6.4001241111829119E-3</c:v>
                </c:pt>
                <c:pt idx="57">
                  <c:v>-6.4384919093850362E-3</c:v>
                </c:pt>
                <c:pt idx="58">
                  <c:v>-6.8897416473700807E-3</c:v>
                </c:pt>
                <c:pt idx="59">
                  <c:v>-7.3362711496745116E-3</c:v>
                </c:pt>
                <c:pt idx="60">
                  <c:v>-7.4259463198671112E-3</c:v>
                </c:pt>
                <c:pt idx="61">
                  <c:v>-8.1487213114754195E-3</c:v>
                </c:pt>
                <c:pt idx="62">
                  <c:v>-8.3341159789128982E-3</c:v>
                </c:pt>
                <c:pt idx="63">
                  <c:v>-8.609689655172597E-3</c:v>
                </c:pt>
                <c:pt idx="64">
                  <c:v>-9.1186794462193976E-3</c:v>
                </c:pt>
                <c:pt idx="65">
                  <c:v>-1.0160907849829282E-2</c:v>
                </c:pt>
                <c:pt idx="66">
                  <c:v>-1.0284533980582381E-2</c:v>
                </c:pt>
                <c:pt idx="67">
                  <c:v>-1.0388217736121096E-2</c:v>
                </c:pt>
                <c:pt idx="68">
                  <c:v>-1.1220945137157131E-2</c:v>
                </c:pt>
                <c:pt idx="69">
                  <c:v>-1.227752631578949E-2</c:v>
                </c:pt>
                <c:pt idx="70">
                  <c:v>-1.2582512981903998E-2</c:v>
                </c:pt>
                <c:pt idx="71">
                  <c:v>-1.3396801268499068E-2</c:v>
                </c:pt>
                <c:pt idx="72">
                  <c:v>-1.4404215319943894E-2</c:v>
                </c:pt>
                <c:pt idx="73">
                  <c:v>-1.8174166666666741E-2</c:v>
                </c:pt>
                <c:pt idx="74">
                  <c:v>-1.9220834073134532E-2</c:v>
                </c:pt>
                <c:pt idx="75">
                  <c:v>-2.3659682464455111E-2</c:v>
                </c:pt>
                <c:pt idx="76">
                  <c:v>-2.6066763500931071E-2</c:v>
                </c:pt>
                <c:pt idx="77">
                  <c:v>-2.6938245179063434E-2</c:v>
                </c:pt>
                <c:pt idx="78">
                  <c:v>-2.7100663518299983E-2</c:v>
                </c:pt>
                <c:pt idx="79">
                  <c:v>-3.3958587399629467E-2</c:v>
                </c:pt>
                <c:pt idx="80">
                  <c:v>-3.4907759036144438E-2</c:v>
                </c:pt>
                <c:pt idx="81">
                  <c:v>-3.7081270610446825E-2</c:v>
                </c:pt>
                <c:pt idx="82">
                  <c:v>-3.9717099337748217E-2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2-DB86-4AB3-9EA8-494363D6A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53056"/>
        <c:axId val="582631936"/>
      </c:barChart>
      <c:catAx>
        <c:axId val="58265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2631936"/>
        <c:crosses val="autoZero"/>
        <c:auto val="1"/>
        <c:lblAlgn val="ctr"/>
        <c:lblOffset val="100"/>
        <c:noMultiLvlLbl val="0"/>
      </c:catAx>
      <c:valAx>
        <c:axId val="582631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2653056"/>
        <c:crosses val="autoZero"/>
        <c:crossBetween val="between"/>
      </c:valAx>
      <c:spPr>
        <a:solidFill>
          <a:schemeClr val="tx1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85000"/>
          <a:lumOff val="1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3.com.br/pt_br/market-data-e-indices/indices/indices-amplos/indice-ibovespa-ibovespa-composicao-da-carteira.ht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1</xdr:row>
      <xdr:rowOff>38099</xdr:rowOff>
    </xdr:from>
    <xdr:to>
      <xdr:col>7</xdr:col>
      <xdr:colOff>1390650</xdr:colOff>
      <xdr:row>11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D18229-A46F-4AC1-B9F8-7C2E4B7A5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4</xdr:col>
      <xdr:colOff>492030</xdr:colOff>
      <xdr:row>4</xdr:row>
      <xdr:rowOff>79321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747DF8-D062-D92D-8F7D-7A9D65B9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" y="0"/>
          <a:ext cx="1835055" cy="8413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ilberto Coelho" id="{61985561-C36F-4AEA-9182-C2445D5EB6E7}" userId="ac992c250befdd11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" dT="2024-09-11T18:51:52.22" personId="{61985561-C36F-4AEA-9182-C2445D5EB6E7}" id="{8A07B322-54DE-4C63-A3CC-CC5F002E1099}">
    <text>ATUAL</text>
  </threadedComment>
  <threadedComment ref="O6" dT="2024-09-11T18:51:15.13" personId="{61985561-C36F-4AEA-9182-C2445D5EB6E7}" id="{F51D94D8-5163-46FB-9EA7-9D58F77CFBBE}">
    <text>Linha do Redutor</text>
  </threadedComment>
  <threadedComment ref="Y6" dT="2024-09-11T18:51:15.13" personId="{61985561-C36F-4AEA-9182-C2445D5EB6E7}" id="{106C9778-BB0D-42D6-A7B0-CF468356746E}">
    <text>Linha do Redutor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youtu.be/1QBRq1l4UE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3.com.br/pt_br/market-data-e-indices/indices/indices-amplos/indice-ibovespa-ibovespa-composicao-da-carteira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3769-6185-45D9-B83D-5130A1888FA4}">
  <dimension ref="B1:S47"/>
  <sheetViews>
    <sheetView showGridLines="0" tabSelected="1" zoomScaleNormal="100" workbookViewId="0">
      <selection activeCell="E9" sqref="E9"/>
    </sheetView>
  </sheetViews>
  <sheetFormatPr defaultRowHeight="15" x14ac:dyDescent="0.25"/>
  <cols>
    <col min="1" max="1" width="0.5703125" customWidth="1"/>
    <col min="2" max="2" width="1.140625" style="74" hidden="1" customWidth="1"/>
    <col min="3" max="3" width="3" hidden="1" customWidth="1"/>
    <col min="4" max="4" width="6.42578125" hidden="1" customWidth="1"/>
    <col min="5" max="5" width="18.28515625" bestFit="1" customWidth="1"/>
    <col min="6" max="6" width="13.85546875" customWidth="1"/>
    <col min="7" max="7" width="10" bestFit="1" customWidth="1"/>
    <col min="8" max="8" width="21.140625" customWidth="1"/>
    <col min="9" max="9" width="6.42578125" customWidth="1"/>
    <col min="10" max="10" width="6.5703125" customWidth="1"/>
    <col min="11" max="11" width="7" customWidth="1"/>
    <col min="12" max="12" width="1.140625" customWidth="1"/>
    <col min="13" max="13" width="5.42578125" bestFit="1" customWidth="1"/>
    <col min="14" max="14" width="6.5703125" customWidth="1"/>
    <col min="15" max="15" width="8.140625" customWidth="1"/>
    <col min="16" max="16" width="2.140625" customWidth="1"/>
    <col min="17" max="17" width="2.28515625" customWidth="1"/>
    <col min="22" max="24" width="0.7109375" customWidth="1"/>
  </cols>
  <sheetData>
    <row r="1" spans="2:17" ht="26.25" x14ac:dyDescent="0.4">
      <c r="C1" s="41"/>
      <c r="D1" s="41"/>
      <c r="E1" s="21" t="s">
        <v>0</v>
      </c>
      <c r="F1" s="22">
        <f>dados!D2</f>
        <v>141682.99878601302</v>
      </c>
      <c r="G1" s="23">
        <f>F1/dados!AT6-1</f>
        <v>-7.0784903099341268E-4</v>
      </c>
      <c r="H1" s="20">
        <f ca="1">NOW()</f>
        <v>45945.391373148152</v>
      </c>
      <c r="I1" s="18"/>
      <c r="J1" s="59" t="s">
        <v>1</v>
      </c>
      <c r="K1" s="60">
        <f>dados!L3</f>
        <v>0</v>
      </c>
      <c r="L1" s="61"/>
      <c r="M1" s="19"/>
      <c r="N1" s="19" t="s">
        <v>2</v>
      </c>
      <c r="O1" s="19"/>
      <c r="P1" s="18"/>
      <c r="Q1" s="2"/>
    </row>
    <row r="2" spans="2:17" ht="16.5" customHeight="1" thickBot="1" x14ac:dyDescent="0.35">
      <c r="C2" s="41"/>
      <c r="D2" s="41"/>
      <c r="E2" s="73" t="s">
        <v>3</v>
      </c>
      <c r="F2" s="82">
        <f>dados!P2*100</f>
        <v>-17.422715634741959</v>
      </c>
      <c r="G2" s="18"/>
      <c r="H2" s="18"/>
      <c r="I2" s="65" t="s">
        <v>4</v>
      </c>
      <c r="J2" s="66" t="s">
        <v>5</v>
      </c>
      <c r="K2" s="67" t="s">
        <v>6</v>
      </c>
      <c r="L2" s="68"/>
      <c r="M2" s="65" t="s">
        <v>4</v>
      </c>
      <c r="N2" s="66" t="s">
        <v>5</v>
      </c>
      <c r="O2" s="67" t="s">
        <v>7</v>
      </c>
      <c r="P2" s="18"/>
      <c r="Q2" s="2"/>
    </row>
    <row r="3" spans="2:17" ht="16.5" customHeight="1" x14ac:dyDescent="0.25">
      <c r="C3" s="41"/>
      <c r="D3" s="41"/>
      <c r="E3" s="29" t="s">
        <v>8</v>
      </c>
      <c r="F3" s="30">
        <f>dados!F3</f>
        <v>144710</v>
      </c>
      <c r="G3" s="18"/>
      <c r="H3" s="18"/>
      <c r="I3" s="47" t="str">
        <f>_xlfn.XLOOKUP(J3,dados!$B$6:$B$92,dados!$V$6:$V$92)</f>
        <v/>
      </c>
      <c r="J3" s="48" t="str">
        <f>dados!$T6</f>
        <v>EMBR3</v>
      </c>
      <c r="K3" s="49">
        <f>IF(dados!$U6&lt;0,"",dados!$U6)</f>
        <v>4.8886868020304675E-2</v>
      </c>
      <c r="L3" s="27"/>
      <c r="M3" s="47" t="str">
        <f>IFERROR(_xlfn.XLOOKUP(N3,dados!$B$6:$B$92,dados!$V$6:$V$92),"")</f>
        <v/>
      </c>
      <c r="N3" s="48" t="str">
        <f>IF(O3="","",dados!$W6)</f>
        <v>COGN3</v>
      </c>
      <c r="O3" s="49">
        <f>IF(dados!$X6&gt;0,"",dados!$X6)</f>
        <v>-3.9717099337748217E-2</v>
      </c>
      <c r="P3" s="18"/>
      <c r="Q3" s="2"/>
    </row>
    <row r="4" spans="2:17" ht="16.5" customHeight="1" x14ac:dyDescent="0.25">
      <c r="C4" s="41"/>
      <c r="D4" s="41"/>
      <c r="E4" s="31" t="s">
        <v>9</v>
      </c>
      <c r="F4" s="32">
        <f ca="1">dados!D3</f>
        <v>144732.99878601302</v>
      </c>
      <c r="G4" s="18"/>
      <c r="H4" s="18"/>
      <c r="I4" s="51" t="str">
        <f>_xlfn.XLOOKUP(J4,dados!$B$6:$B$92,dados!$V$6:$V$92)</f>
        <v/>
      </c>
      <c r="J4" s="52" t="str">
        <f>dados!$T7</f>
        <v>RAIZ4</v>
      </c>
      <c r="K4" s="53">
        <f>IF(dados!$U7&lt;0,"",dados!$U7)</f>
        <v>3.5356117647058698E-2</v>
      </c>
      <c r="L4" s="27"/>
      <c r="M4" s="51" t="str">
        <f>IFERROR(_xlfn.XLOOKUP(N4,dados!$B$6:$B$92,dados!$V$6:$V$92),"")</f>
        <v/>
      </c>
      <c r="N4" s="52" t="str">
        <f>IF(O4="","",dados!$W7)</f>
        <v>MBRF3</v>
      </c>
      <c r="O4" s="53">
        <f>IF(dados!$X7&gt;0,"",dados!$X7)</f>
        <v>-3.7081270610446825E-2</v>
      </c>
      <c r="P4" s="18"/>
      <c r="Q4" s="2"/>
    </row>
    <row r="5" spans="2:17" ht="16.5" customHeight="1" thickBot="1" x14ac:dyDescent="0.3">
      <c r="B5" s="75"/>
      <c r="C5" s="41"/>
      <c r="D5" s="41"/>
      <c r="E5" s="62" t="s">
        <v>10</v>
      </c>
      <c r="F5" s="63">
        <f ca="1">F4-F3</f>
        <v>22.998786013020435</v>
      </c>
      <c r="G5" s="18"/>
      <c r="H5" s="18"/>
      <c r="I5" s="47" t="str">
        <f>_xlfn.XLOOKUP(J5,dados!$B$6:$B$92,dados!$V$6:$V$92)</f>
        <v/>
      </c>
      <c r="J5" s="48" t="str">
        <f>dados!$T8</f>
        <v>USIM5</v>
      </c>
      <c r="K5" s="49">
        <f>IF(dados!$U8&lt;0,"",dados!$U8)</f>
        <v>2.8837061946902533E-2</v>
      </c>
      <c r="L5" s="27"/>
      <c r="M5" s="47" t="str">
        <f>IFERROR(_xlfn.XLOOKUP(N5,dados!$B$6:$B$92,dados!$V$6:$V$92),"")</f>
        <v/>
      </c>
      <c r="N5" s="48" t="str">
        <f>IF(O5="","",dados!$W8)</f>
        <v>EGIE3</v>
      </c>
      <c r="O5" s="49">
        <f>IF(dados!$X8&gt;0,"",dados!$X8)</f>
        <v>-3.4907759036144438E-2</v>
      </c>
      <c r="P5" s="18"/>
      <c r="Q5" s="2"/>
    </row>
    <row r="6" spans="2:17" ht="16.5" customHeight="1" x14ac:dyDescent="0.25">
      <c r="C6" s="41"/>
      <c r="D6" s="41"/>
      <c r="E6" s="84" t="s">
        <v>8</v>
      </c>
      <c r="F6" s="64" t="str">
        <f ca="1">IF(F5&gt;60,"Alerta de Alta",IF(F5&lt;-60,"Alerta de baixa","Neutro"))</f>
        <v>Neutro</v>
      </c>
      <c r="G6" s="18"/>
      <c r="H6" s="18"/>
      <c r="I6" s="51" t="str">
        <f>_xlfn.XLOOKUP(J6,dados!$B$6:$B$92,dados!$V$6:$V$92)</f>
        <v/>
      </c>
      <c r="J6" s="52" t="str">
        <f>dados!$T9</f>
        <v>BEEF3</v>
      </c>
      <c r="K6" s="53">
        <f>IF(dados!$U9&lt;0,"",dados!$U9)</f>
        <v>2.4817801857585205E-2</v>
      </c>
      <c r="L6" s="27"/>
      <c r="M6" s="51" t="str">
        <f>IFERROR(_xlfn.XLOOKUP(N6,dados!$B$6:$B$92,dados!$V$6:$V$92),"")</f>
        <v/>
      </c>
      <c r="N6" s="52" t="str">
        <f>IF(O6="","",dados!$W9)</f>
        <v>BRAV3</v>
      </c>
      <c r="O6" s="53">
        <f>IF(dados!$X9&gt;0,"",dados!$X9)</f>
        <v>-3.3958587399629467E-2</v>
      </c>
      <c r="P6" s="18"/>
      <c r="Q6" s="2"/>
    </row>
    <row r="7" spans="2:17" ht="16.5" customHeight="1" x14ac:dyDescent="0.25">
      <c r="C7" s="41"/>
      <c r="D7" s="41"/>
      <c r="E7" s="69" t="s">
        <v>11</v>
      </c>
      <c r="F7" s="25"/>
      <c r="G7" s="18"/>
      <c r="H7" s="18"/>
      <c r="I7" s="47" t="str">
        <f>_xlfn.XLOOKUP(J7,dados!$B$6:$B$92,dados!$V$6:$V$92)</f>
        <v/>
      </c>
      <c r="J7" s="48" t="str">
        <f>dados!$T10</f>
        <v>MGLU3</v>
      </c>
      <c r="K7" s="49">
        <f>IF(dados!$U10&lt;0,"",dados!$U10)</f>
        <v>2.0977232558139748E-2</v>
      </c>
      <c r="L7" s="27"/>
      <c r="M7" s="47" t="str">
        <f>IFERROR(_xlfn.XLOOKUP(N7,dados!$B$6:$B$92,dados!$V$6:$V$92),"")</f>
        <v/>
      </c>
      <c r="N7" s="48" t="str">
        <f>IF(O7="","",dados!$W10)</f>
        <v>NATU3</v>
      </c>
      <c r="O7" s="49">
        <f>IF(dados!$X10&gt;0,"",dados!$X10)</f>
        <v>-2.7100663518299983E-2</v>
      </c>
      <c r="P7" s="18"/>
      <c r="Q7" s="2"/>
    </row>
    <row r="8" spans="2:17" ht="12" customHeight="1" x14ac:dyDescent="0.25">
      <c r="B8" s="75"/>
      <c r="C8" s="41"/>
      <c r="D8" s="41"/>
      <c r="E8" s="70">
        <v>3050</v>
      </c>
      <c r="F8" s="18" t="str">
        <f>IF(F10&gt;65,"Encerrar","")</f>
        <v/>
      </c>
      <c r="G8" s="18"/>
      <c r="H8" s="18"/>
      <c r="I8" s="51" t="str">
        <f>_xlfn.XLOOKUP(J8,dados!$B$6:$B$92,dados!$V$6:$V$92)</f>
        <v/>
      </c>
      <c r="J8" s="52" t="str">
        <f>dados!$T11</f>
        <v>ASAI3</v>
      </c>
      <c r="K8" s="53">
        <f>IF(dados!$U11&lt;0,"",dados!$U11)</f>
        <v>1.7394304347826208E-2</v>
      </c>
      <c r="L8" s="27"/>
      <c r="M8" s="51" t="str">
        <f>IFERROR(_xlfn.XLOOKUP(N8,dados!$B$6:$B$92,dados!$V$6:$V$92),"")</f>
        <v/>
      </c>
      <c r="N8" s="52" t="str">
        <f>IF(O8="","",dados!$W11)</f>
        <v>PRIO3</v>
      </c>
      <c r="O8" s="53">
        <f>IF(dados!$X11&gt;0,"",dados!$X11)</f>
        <v>-2.6938245179063434E-2</v>
      </c>
      <c r="P8" s="18"/>
      <c r="Q8" s="2"/>
    </row>
    <row r="9" spans="2:17" ht="16.5" customHeight="1" x14ac:dyDescent="0.25">
      <c r="C9" s="41"/>
      <c r="D9" s="41"/>
      <c r="E9" s="18" t="s">
        <v>12</v>
      </c>
      <c r="F9" s="18">
        <f>dados!K1</f>
        <v>31</v>
      </c>
      <c r="G9" s="18"/>
      <c r="H9" s="18"/>
      <c r="I9" s="47" t="str">
        <f>_xlfn.XLOOKUP(J9,dados!$B$6:$B$92,dados!$V$6:$V$92)</f>
        <v/>
      </c>
      <c r="J9" s="48" t="str">
        <f>dados!$T12</f>
        <v>ABEV3</v>
      </c>
      <c r="K9" s="49">
        <f>IF(dados!$U12&lt;0,"",dados!$U12)</f>
        <v>1.6022236087689764E-2</v>
      </c>
      <c r="L9" s="27"/>
      <c r="M9" s="47" t="str">
        <f>IFERROR(_xlfn.XLOOKUP(N9,dados!$B$6:$B$92,dados!$V$6:$V$92),"")</f>
        <v/>
      </c>
      <c r="N9" s="48" t="str">
        <f>IF(O9="","",dados!$W12)</f>
        <v>AURE3</v>
      </c>
      <c r="O9" s="49">
        <f>IF(dados!$X12&gt;0,"",dados!$X12)</f>
        <v>-2.6066763500931071E-2</v>
      </c>
      <c r="P9" s="18"/>
      <c r="Q9" s="2"/>
    </row>
    <row r="10" spans="2:17" ht="16.5" customHeight="1" x14ac:dyDescent="0.25">
      <c r="B10" s="75"/>
      <c r="C10" s="41"/>
      <c r="D10" s="41"/>
      <c r="E10" s="4" t="s">
        <v>13</v>
      </c>
      <c r="F10" s="4">
        <f>dados!M1</f>
        <v>49</v>
      </c>
      <c r="G10" s="18"/>
      <c r="H10" s="18"/>
      <c r="I10" s="51" t="str">
        <f>_xlfn.XLOOKUP(J10,dados!$B$6:$B$92,dados!$V$6:$V$92)</f>
        <v/>
      </c>
      <c r="J10" s="52" t="str">
        <f>dados!$T13</f>
        <v>BBDC4</v>
      </c>
      <c r="K10" s="53">
        <f>IF(dados!$U13&lt;0,"",dados!$U13)</f>
        <v>1.4193397163120366E-2</v>
      </c>
      <c r="L10" s="27"/>
      <c r="M10" s="51" t="str">
        <f>IFERROR(_xlfn.XLOOKUP(N10,dados!$B$6:$B$92,dados!$V$6:$V$92),"")</f>
        <v/>
      </c>
      <c r="N10" s="52" t="str">
        <f>IF(O10="","",dados!$W13)</f>
        <v>HAPV3</v>
      </c>
      <c r="O10" s="53">
        <f>IF(dados!$X13&gt;0,"",dados!$X13)</f>
        <v>-2.3659682464455111E-2</v>
      </c>
      <c r="P10" s="18"/>
      <c r="Q10" s="2"/>
    </row>
    <row r="11" spans="2:17" ht="16.5" customHeight="1" x14ac:dyDescent="0.25">
      <c r="C11" s="41"/>
      <c r="D11" s="41"/>
      <c r="E11" s="4" t="s">
        <v>14</v>
      </c>
      <c r="F11" s="83">
        <f>H13</f>
        <v>0.37804878048780488</v>
      </c>
      <c r="G11" s="18"/>
      <c r="H11" s="18"/>
      <c r="I11" s="47" t="str">
        <f>_xlfn.XLOOKUP(J11,dados!$B$6:$B$92,dados!$V$6:$V$92)</f>
        <v/>
      </c>
      <c r="J11" s="48" t="str">
        <f>dados!$T14</f>
        <v>CEAB3</v>
      </c>
      <c r="K11" s="49">
        <f>IF(dados!$U14&lt;0,"",dados!$U14)</f>
        <v>1.4182130070830674E-2</v>
      </c>
      <c r="L11" s="27"/>
      <c r="M11" s="47" t="str">
        <f>IFERROR(_xlfn.XLOOKUP(N11,dados!$B$6:$B$92,dados!$V$6:$V$92),"")</f>
        <v/>
      </c>
      <c r="N11" s="48" t="str">
        <f>IF(O11="","",dados!$W14)</f>
        <v>BPAC11</v>
      </c>
      <c r="O11" s="49">
        <f>IF(dados!$X14&gt;0,"",dados!$X14)</f>
        <v>-1.9220834073134532E-2</v>
      </c>
      <c r="P11" s="18"/>
      <c r="Q11" s="2"/>
    </row>
    <row r="12" spans="2:17" ht="16.5" customHeight="1" x14ac:dyDescent="0.25">
      <c r="B12" s="75"/>
      <c r="C12" s="41"/>
      <c r="D12" s="41"/>
      <c r="E12" s="18" t="s">
        <v>15</v>
      </c>
      <c r="F12" s="18"/>
      <c r="G12" s="18"/>
      <c r="H12" s="18"/>
      <c r="I12" s="51" t="str">
        <f>_xlfn.XLOOKUP(J12,dados!$B$6:$B$92,dados!$V$6:$V$92)</f>
        <v/>
      </c>
      <c r="J12" s="52" t="str">
        <f>dados!$T15</f>
        <v>AZZA3</v>
      </c>
      <c r="K12" s="53">
        <f>IF(dados!$U15&lt;0,"",dados!$U15)</f>
        <v>1.3792510137875047E-2</v>
      </c>
      <c r="L12" s="27"/>
      <c r="M12" s="51" t="str">
        <f>IFERROR(_xlfn.XLOOKUP(N12,dados!$B$6:$B$92,dados!$V$6:$V$92),"")</f>
        <v/>
      </c>
      <c r="N12" s="52" t="str">
        <f>IF(O12="","",dados!$W15)</f>
        <v>PCAR3</v>
      </c>
      <c r="O12" s="53">
        <f>IF(dados!$X15&gt;0,"",dados!$X15)</f>
        <v>-1.8174166666666741E-2</v>
      </c>
      <c r="P12" s="18"/>
      <c r="Q12" s="2"/>
    </row>
    <row r="13" spans="2:17" ht="16.5" customHeight="1" x14ac:dyDescent="0.35">
      <c r="B13" s="75"/>
      <c r="C13" s="41"/>
      <c r="D13" s="41"/>
      <c r="E13" s="2" t="s">
        <v>16</v>
      </c>
      <c r="F13" s="2"/>
      <c r="G13" s="2"/>
      <c r="H13" s="85">
        <f>F9/82</f>
        <v>0.37804878048780488</v>
      </c>
      <c r="I13" s="47" t="str">
        <f>_xlfn.XLOOKUP(J13,dados!$B$6:$B$92,dados!$V$6:$V$92)</f>
        <v/>
      </c>
      <c r="J13" s="48" t="str">
        <f>dados!$T16</f>
        <v>LREN3</v>
      </c>
      <c r="K13" s="49">
        <f>IF(dados!$U16&lt;0,"",dados!$U16)</f>
        <v>1.2775844413012613E-2</v>
      </c>
      <c r="L13" s="27"/>
      <c r="M13" s="47" t="str">
        <f>IFERROR(_xlfn.XLOOKUP(N13,dados!$B$6:$B$92,dados!$V$6:$V$92),"")</f>
        <v/>
      </c>
      <c r="N13" s="48" t="str">
        <f>IF(O13="","",dados!$W16)</f>
        <v>UGPA3</v>
      </c>
      <c r="O13" s="49">
        <f>IF(dados!$X16&gt;0,"",dados!$X16)</f>
        <v>-1.4404215319943894E-2</v>
      </c>
      <c r="P13" s="18"/>
      <c r="Q13" s="2"/>
    </row>
    <row r="14" spans="2:17" ht="16.5" customHeight="1" x14ac:dyDescent="0.25">
      <c r="B14" s="75"/>
      <c r="C14" s="41"/>
      <c r="D14" s="41"/>
      <c r="E14" s="2" t="s">
        <v>17</v>
      </c>
      <c r="F14" s="2"/>
      <c r="G14" s="2"/>
      <c r="H14" s="81" t="str">
        <f>IF(H13&gt;50%,"Alerta de ALTA no IBOV",IF(H13&lt;40%,"Alerta de Baixa no IBOV",""))</f>
        <v>Alerta de Baixa no IBOV</v>
      </c>
      <c r="I14" s="54" t="str">
        <f>_xlfn.XLOOKUP(J14,dados!$B$6:$B$92,dados!$V$6:$V$92)</f>
        <v/>
      </c>
      <c r="J14" s="52" t="str">
        <f>dados!$T17</f>
        <v>BRKM5</v>
      </c>
      <c r="K14" s="53">
        <f>IF(dados!$U17&lt;0,"",dados!$U17)</f>
        <v>1.2281938650306677E-2</v>
      </c>
      <c r="L14" s="27"/>
      <c r="M14" s="51" t="str">
        <f>IFERROR(_xlfn.XLOOKUP(N14,dados!$B$6:$B$92,dados!$V$6:$V$92),"")</f>
        <v/>
      </c>
      <c r="N14" s="52" t="str">
        <f>IF(O14="","",dados!$W17)</f>
        <v>WEGE3</v>
      </c>
      <c r="O14" s="53">
        <f>IF(dados!$X17&gt;0,"",dados!$X17)</f>
        <v>-1.3396801268499068E-2</v>
      </c>
      <c r="P14" s="18"/>
      <c r="Q14" s="2"/>
    </row>
    <row r="15" spans="2:17" ht="16.5" customHeight="1" x14ac:dyDescent="0.35">
      <c r="B15" s="75"/>
      <c r="C15" s="41"/>
      <c r="D15" s="41"/>
      <c r="E15" s="78" t="s">
        <v>18</v>
      </c>
      <c r="F15" s="18"/>
      <c r="G15" s="18"/>
      <c r="H15" s="18"/>
      <c r="I15" s="50" t="str">
        <f>_xlfn.XLOOKUP(J15,dados!$B$6:$B$92,dados!$V$6:$V$92)</f>
        <v/>
      </c>
      <c r="J15" s="48" t="str">
        <f>dados!$T18</f>
        <v>CPFE3</v>
      </c>
      <c r="K15" s="49">
        <f>IF(dados!$U18&lt;0,"",dados!$U18)</f>
        <v>1.1751969760166854E-2</v>
      </c>
      <c r="L15" s="27"/>
      <c r="M15" s="47" t="str">
        <f>IFERROR(_xlfn.XLOOKUP(N15,dados!$B$6:$B$92,dados!$V$6:$V$92),"")</f>
        <v/>
      </c>
      <c r="N15" s="48" t="str">
        <f>IF(O15="","",dados!$W18)</f>
        <v>B3SA3</v>
      </c>
      <c r="O15" s="49">
        <f>IF(dados!$X18&gt;0,"",dados!$X18)</f>
        <v>-1.2582512981903998E-2</v>
      </c>
      <c r="P15" s="18"/>
      <c r="Q15" s="2"/>
    </row>
    <row r="16" spans="2:17" ht="16.5" customHeight="1" x14ac:dyDescent="0.25">
      <c r="B16" s="75"/>
      <c r="C16" s="41"/>
      <c r="D16" s="41"/>
      <c r="E16" s="18"/>
      <c r="F16" s="18"/>
      <c r="G16" s="18"/>
      <c r="H16" s="18"/>
      <c r="I16" s="55" t="str">
        <f>_xlfn.XLOOKUP(J16,dados!$B$6:$B$92,dados!$V$6:$V$92)</f>
        <v/>
      </c>
      <c r="J16" s="56" t="str">
        <f>dados!$T19</f>
        <v>RDOR3</v>
      </c>
      <c r="K16" s="57">
        <f>IF(dados!$U19&lt;0,"",dados!$U19)</f>
        <v>1.1635327044025111E-2</v>
      </c>
      <c r="L16" s="27"/>
      <c r="M16" s="58" t="str">
        <f>IFERROR(_xlfn.XLOOKUP(N16,dados!$B$6:$B$92,dados!$V$6:$V$92),"")</f>
        <v/>
      </c>
      <c r="N16" s="56" t="str">
        <f>IF(O16="","",dados!$W19)</f>
        <v>RECV3</v>
      </c>
      <c r="O16" s="57">
        <f>IF(dados!$X19&gt;0,"",dados!$X19)</f>
        <v>-1.227752631578949E-2</v>
      </c>
      <c r="P16" s="18"/>
      <c r="Q16" s="2"/>
    </row>
    <row r="17" spans="2:19" ht="14.25" customHeight="1" x14ac:dyDescent="0.25">
      <c r="B17" s="75"/>
      <c r="C17" s="41"/>
      <c r="D17" s="41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"/>
    </row>
    <row r="18" spans="2:19" hidden="1" x14ac:dyDescent="0.25">
      <c r="B18" s="75"/>
      <c r="C18" s="41"/>
      <c r="D18" s="41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"/>
    </row>
    <row r="19" spans="2:19" hidden="1" x14ac:dyDescent="0.25">
      <c r="B19" s="75"/>
      <c r="C19" s="41"/>
      <c r="D19" s="41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2"/>
    </row>
    <row r="20" spans="2:19" x14ac:dyDescent="0.25">
      <c r="B20"/>
    </row>
    <row r="21" spans="2:19" x14ac:dyDescent="0.25">
      <c r="B21" s="75"/>
      <c r="S21" t="str">
        <f t="shared" ref="S21:S37" si="0">IF(H42="Alta","C",IF(H42="Baixa","V",""))</f>
        <v/>
      </c>
    </row>
    <row r="22" spans="2:19" x14ac:dyDescent="0.25">
      <c r="B22" s="75"/>
      <c r="S22" t="str">
        <f t="shared" si="0"/>
        <v/>
      </c>
    </row>
    <row r="23" spans="2:19" x14ac:dyDescent="0.25">
      <c r="B23" s="75"/>
      <c r="S23" t="str">
        <f>IF(H46="Alta","C",IF(H46="Baixa","V",""))</f>
        <v/>
      </c>
    </row>
    <row r="24" spans="2:19" x14ac:dyDescent="0.25">
      <c r="B24" s="75"/>
      <c r="S24" t="str">
        <f t="shared" si="0"/>
        <v/>
      </c>
    </row>
    <row r="25" spans="2:19" x14ac:dyDescent="0.25">
      <c r="B25" s="75"/>
    </row>
    <row r="26" spans="2:19" x14ac:dyDescent="0.25">
      <c r="B26" s="75"/>
      <c r="S26" t="str">
        <f t="shared" si="0"/>
        <v/>
      </c>
    </row>
    <row r="27" spans="2:19" x14ac:dyDescent="0.25">
      <c r="B27" s="75"/>
      <c r="S27" t="str">
        <f t="shared" si="0"/>
        <v/>
      </c>
    </row>
    <row r="28" spans="2:19" x14ac:dyDescent="0.25">
      <c r="B28" s="75"/>
      <c r="S28" t="str">
        <f t="shared" si="0"/>
        <v/>
      </c>
    </row>
    <row r="29" spans="2:19" x14ac:dyDescent="0.25">
      <c r="B29" s="75"/>
      <c r="S29" t="str">
        <f t="shared" si="0"/>
        <v/>
      </c>
    </row>
    <row r="30" spans="2:19" x14ac:dyDescent="0.25">
      <c r="B30" s="75"/>
      <c r="S30" t="str">
        <f t="shared" si="0"/>
        <v/>
      </c>
    </row>
    <row r="31" spans="2:19" x14ac:dyDescent="0.25">
      <c r="B31" s="75"/>
      <c r="S31" t="str">
        <f t="shared" si="0"/>
        <v/>
      </c>
    </row>
    <row r="32" spans="2:19" x14ac:dyDescent="0.25">
      <c r="B32" s="75"/>
      <c r="S32" t="str">
        <f t="shared" si="0"/>
        <v/>
      </c>
    </row>
    <row r="33" spans="2:19" x14ac:dyDescent="0.25">
      <c r="B33" s="75"/>
      <c r="C33" s="41"/>
      <c r="D33" s="41"/>
      <c r="E33" s="18"/>
      <c r="F33" s="18"/>
      <c r="G33" s="18"/>
      <c r="H33" s="18"/>
      <c r="S33" t="str">
        <f t="shared" si="0"/>
        <v/>
      </c>
    </row>
    <row r="34" spans="2:19" x14ac:dyDescent="0.25">
      <c r="B34" s="75"/>
      <c r="C34" s="41"/>
      <c r="D34" s="41"/>
      <c r="E34" s="42" t="s">
        <v>19</v>
      </c>
      <c r="F34" s="43">
        <v>150</v>
      </c>
      <c r="G34" s="44">
        <f>F34*3</f>
        <v>450</v>
      </c>
      <c r="H34" s="45">
        <f ca="1">TODAY()</f>
        <v>45945</v>
      </c>
      <c r="S34" t="str">
        <f t="shared" si="0"/>
        <v/>
      </c>
    </row>
    <row r="35" spans="2:19" x14ac:dyDescent="0.25">
      <c r="B35" s="75"/>
      <c r="D35" s="41"/>
      <c r="E35" s="46" t="s">
        <v>20</v>
      </c>
      <c r="F35" s="46" t="s">
        <v>21</v>
      </c>
      <c r="G35" s="46" t="s">
        <v>22</v>
      </c>
      <c r="H35" s="46" t="s">
        <v>23</v>
      </c>
      <c r="S35" t="str">
        <f t="shared" si="0"/>
        <v/>
      </c>
    </row>
    <row r="36" spans="2:19" x14ac:dyDescent="0.25">
      <c r="B36" s="75"/>
      <c r="C36" s="4" t="str">
        <f>IF(E36&gt;F36,"C",IF(E36&lt;D36,"V",""))</f>
        <v>V</v>
      </c>
      <c r="D36" s="4" t="s">
        <v>24</v>
      </c>
      <c r="E36" s="39"/>
      <c r="F36" s="39"/>
      <c r="G36" s="39">
        <f>IF(F36&lt;E36,(E36+(ABS(E36-F36)*3)),(E36-ABS((E36-F36)*3)))</f>
        <v>0</v>
      </c>
      <c r="H36" s="40" t="str">
        <f>IFERROR((($F$34/ABS(F36-E36))/0.2),"")</f>
        <v/>
      </c>
      <c r="S36" t="str">
        <f t="shared" si="0"/>
        <v/>
      </c>
    </row>
    <row r="37" spans="2:19" x14ac:dyDescent="0.25">
      <c r="B37" s="75"/>
      <c r="C37" t="str">
        <f t="shared" ref="C37:C38" si="1">IF(E37&gt;F37,"C",IF(E37&lt;D37,"V",""))</f>
        <v>V</v>
      </c>
      <c r="D37" s="35" t="s">
        <v>25</v>
      </c>
      <c r="E37" s="36"/>
      <c r="F37" s="36"/>
      <c r="G37" s="36">
        <f>IF(F37&lt;E37,(E37+(ABS(E37-F37)*3)),(E37-ABS((E37-F37)*3)))</f>
        <v>0</v>
      </c>
      <c r="H37" s="37" t="str">
        <f>IFERROR((($F$34/ABS(F37-E37))/10),"")</f>
        <v/>
      </c>
      <c r="S37" t="str">
        <f t="shared" si="0"/>
        <v/>
      </c>
    </row>
    <row r="38" spans="2:19" x14ac:dyDescent="0.25">
      <c r="B38" s="75"/>
      <c r="C38" s="4" t="str">
        <f t="shared" si="1"/>
        <v>V</v>
      </c>
      <c r="D38" s="4" t="s">
        <v>26</v>
      </c>
      <c r="E38" s="38"/>
      <c r="F38" s="38"/>
      <c r="G38" s="71">
        <f>IF(F38&lt;E38,(E38+(ABS(E38-F38)*3)),(E38-ABS((E38-F38)*3)))</f>
        <v>0</v>
      </c>
      <c r="H38" s="72" t="str">
        <f>IFERROR((($F$34/ABS(F38-E38))/1),"")</f>
        <v/>
      </c>
      <c r="S38" t="str">
        <f t="shared" ref="S38:S39" si="2">IF(H59="Alta","C",IF(H59="Baixa","V",""))</f>
        <v/>
      </c>
    </row>
    <row r="39" spans="2:19" x14ac:dyDescent="0.25">
      <c r="C39" s="4" t="str">
        <f t="shared" ref="C39:C43" si="3">IF(E39&gt;F39,"C",IF(E39&lt;D39,"V",""))</f>
        <v/>
      </c>
      <c r="D39" s="4"/>
      <c r="E39" s="38"/>
      <c r="F39" s="38"/>
      <c r="G39" s="71">
        <f t="shared" ref="G39:G43" si="4">IF(F39&lt;E39,(E39+(ABS(E39-F39)*3)),(E39-ABS((E39-F39)*3)))</f>
        <v>0</v>
      </c>
      <c r="H39" s="72" t="str">
        <f t="shared" ref="H39:H43" si="5">IFERROR((($F$34/ABS(F39-E39))/1),"")</f>
        <v/>
      </c>
      <c r="S39" t="str">
        <f t="shared" si="2"/>
        <v/>
      </c>
    </row>
    <row r="40" spans="2:19" x14ac:dyDescent="0.25">
      <c r="C40" s="4" t="str">
        <f t="shared" si="3"/>
        <v/>
      </c>
      <c r="D40" s="4"/>
      <c r="E40" s="38"/>
      <c r="F40" s="38"/>
      <c r="G40" s="71">
        <f t="shared" si="4"/>
        <v>0</v>
      </c>
      <c r="H40" s="72" t="str">
        <f t="shared" si="5"/>
        <v/>
      </c>
    </row>
    <row r="41" spans="2:19" x14ac:dyDescent="0.25">
      <c r="B41" s="75"/>
      <c r="C41" s="4" t="str">
        <f t="shared" si="3"/>
        <v>V</v>
      </c>
      <c r="D41" s="4" t="s">
        <v>27</v>
      </c>
      <c r="E41" s="38"/>
      <c r="F41" s="38"/>
      <c r="G41" s="71">
        <f t="shared" si="4"/>
        <v>0</v>
      </c>
      <c r="H41" s="72" t="str">
        <f t="shared" si="5"/>
        <v/>
      </c>
    </row>
    <row r="42" spans="2:19" x14ac:dyDescent="0.25">
      <c r="B42" s="75"/>
      <c r="C42" s="4" t="str">
        <f t="shared" si="3"/>
        <v>V</v>
      </c>
      <c r="D42" s="4" t="s">
        <v>28</v>
      </c>
      <c r="E42" s="38"/>
      <c r="F42" s="38"/>
      <c r="G42" s="71">
        <f t="shared" si="4"/>
        <v>0</v>
      </c>
      <c r="H42" s="72" t="str">
        <f t="shared" si="5"/>
        <v/>
      </c>
    </row>
    <row r="43" spans="2:19" x14ac:dyDescent="0.25">
      <c r="B43" s="75"/>
      <c r="C43" s="4" t="str">
        <f t="shared" si="3"/>
        <v>V</v>
      </c>
      <c r="D43" s="4" t="s">
        <v>29</v>
      </c>
      <c r="E43" s="38"/>
      <c r="F43" s="38"/>
      <c r="G43" s="71">
        <f t="shared" si="4"/>
        <v>0</v>
      </c>
      <c r="H43" s="72" t="str">
        <f t="shared" si="5"/>
        <v/>
      </c>
    </row>
    <row r="44" spans="2:19" x14ac:dyDescent="0.25">
      <c r="B44" s="75"/>
      <c r="C44" s="4" t="str">
        <f t="shared" ref="C44" si="6">IF(E44&gt;F44,"C",IF(E44&lt;D44,"V",""))</f>
        <v/>
      </c>
      <c r="D44" s="4"/>
      <c r="E44" s="38"/>
      <c r="F44" s="38"/>
      <c r="G44" s="71">
        <f t="shared" ref="G44" si="7">IF(F44&lt;E44,(E44+(ABS(E44-F44)*3)),(E44-ABS((E44-F44)*3)))</f>
        <v>0</v>
      </c>
      <c r="H44" s="72" t="str">
        <f t="shared" ref="H44" si="8">IFERROR((($F$34/ABS(F44-E44))/1),"")</f>
        <v/>
      </c>
    </row>
    <row r="45" spans="2:19" x14ac:dyDescent="0.25">
      <c r="B45" s="75"/>
    </row>
    <row r="46" spans="2:19" x14ac:dyDescent="0.25">
      <c r="B46" s="75"/>
      <c r="D46" t="s">
        <v>30</v>
      </c>
    </row>
    <row r="47" spans="2:19" x14ac:dyDescent="0.25">
      <c r="B47" s="75"/>
    </row>
  </sheetData>
  <phoneticPr fontId="21" type="noConversion"/>
  <conditionalFormatting sqref="E2">
    <cfRule type="expression" dxfId="5" priority="8">
      <formula>(F2&lt;0)</formula>
    </cfRule>
  </conditionalFormatting>
  <conditionalFormatting sqref="F6">
    <cfRule type="expression" dxfId="4" priority="10" stopIfTrue="1">
      <formula>$F$5&lt;-60</formula>
    </cfRule>
    <cfRule type="expression" dxfId="3" priority="11" stopIfTrue="1">
      <formula>$F$5&gt;60</formula>
    </cfRule>
  </conditionalFormatting>
  <conditionalFormatting sqref="H13">
    <cfRule type="colorScale" priority="1">
      <colorScale>
        <cfvo type="formula" val="0.4"/>
        <cfvo type="formula" val="0.49"/>
        <cfvo type="formula" val="0.5"/>
        <color rgb="FFF8696B"/>
        <color rgb="FFFFEB84"/>
        <color rgb="FF63BE7B"/>
      </colorScale>
    </cfRule>
    <cfRule type="iconSet" priority="2">
      <iconSet iconSet="3TrafficLights2">
        <cfvo type="percent" val="0"/>
        <cfvo type="formula" val="0.4"/>
        <cfvo type="formula" val="0.5"/>
      </iconSet>
    </cfRule>
  </conditionalFormatting>
  <conditionalFormatting sqref="H14">
    <cfRule type="expression" dxfId="2" priority="6">
      <formula>"se($H$13&gt;50%)"</formula>
    </cfRule>
  </conditionalFormatting>
  <hyperlinks>
    <hyperlink ref="E15" r:id="rId1" xr:uid="{68D1334A-B9EC-4014-BD74-6269C0B4A51F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26F1-AD7F-4979-B750-273BDDB262F5}">
  <dimension ref="A1:K19"/>
  <sheetViews>
    <sheetView zoomScaleNormal="100" workbookViewId="0">
      <selection activeCell="K12" sqref="K12"/>
    </sheetView>
  </sheetViews>
  <sheetFormatPr defaultRowHeight="15" x14ac:dyDescent="0.25"/>
  <sheetData>
    <row r="1" spans="1:11" x14ac:dyDescent="0.25">
      <c r="A1" t="s">
        <v>31</v>
      </c>
    </row>
    <row r="2" spans="1:11" x14ac:dyDescent="0.25">
      <c r="K2" s="1" t="s">
        <v>32</v>
      </c>
    </row>
    <row r="5" spans="1:11" x14ac:dyDescent="0.25">
      <c r="B5">
        <v>1</v>
      </c>
      <c r="C5" t="s">
        <v>33</v>
      </c>
    </row>
    <row r="6" spans="1:11" x14ac:dyDescent="0.25">
      <c r="B6">
        <v>2</v>
      </c>
      <c r="C6" t="s">
        <v>34</v>
      </c>
    </row>
    <row r="7" spans="1:11" x14ac:dyDescent="0.25">
      <c r="B7">
        <v>3</v>
      </c>
      <c r="C7" t="s">
        <v>35</v>
      </c>
    </row>
    <row r="8" spans="1:11" x14ac:dyDescent="0.25">
      <c r="B8">
        <v>4</v>
      </c>
      <c r="C8" t="s">
        <v>36</v>
      </c>
    </row>
    <row r="9" spans="1:11" x14ac:dyDescent="0.25">
      <c r="B9">
        <v>5</v>
      </c>
      <c r="C9" t="s">
        <v>37</v>
      </c>
    </row>
    <row r="10" spans="1:11" x14ac:dyDescent="0.25">
      <c r="B10">
        <v>6</v>
      </c>
      <c r="C10" t="s">
        <v>38</v>
      </c>
    </row>
    <row r="11" spans="1:11" x14ac:dyDescent="0.25">
      <c r="B11">
        <v>7</v>
      </c>
      <c r="C11" t="s">
        <v>39</v>
      </c>
    </row>
    <row r="14" spans="1:11" x14ac:dyDescent="0.25">
      <c r="D14" t="s">
        <v>9</v>
      </c>
    </row>
    <row r="15" spans="1:11" x14ac:dyDescent="0.25">
      <c r="D15" t="s">
        <v>10</v>
      </c>
    </row>
    <row r="16" spans="1:11" x14ac:dyDescent="0.25">
      <c r="D16" t="s">
        <v>3</v>
      </c>
    </row>
    <row r="17" spans="4:4" x14ac:dyDescent="0.25">
      <c r="D17" t="s">
        <v>6</v>
      </c>
    </row>
    <row r="18" spans="4:4" x14ac:dyDescent="0.25">
      <c r="D18" t="s">
        <v>40</v>
      </c>
    </row>
    <row r="19" spans="4:4" x14ac:dyDescent="0.25">
      <c r="D19" t="s">
        <v>41</v>
      </c>
    </row>
  </sheetData>
  <hyperlinks>
    <hyperlink ref="K2" r:id="rId1" display="https://www.b3.com.br/pt_br/market-data-e-indices/indices/indices-amplos/indice-ibovespa-ibovespa-composicao-da-carteira.htm" xr:uid="{CB6F5093-50DE-4AB2-8394-CD30906A6580}"/>
  </hyperlinks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90DF-F246-4771-9734-73F6BE0EE4BE}">
  <dimension ref="A1:CK94"/>
  <sheetViews>
    <sheetView zoomScaleNormal="100" workbookViewId="0">
      <selection activeCell="A9" sqref="A9"/>
    </sheetView>
  </sheetViews>
  <sheetFormatPr defaultRowHeight="15" x14ac:dyDescent="0.25"/>
  <cols>
    <col min="3" max="3" width="19" bestFit="1" customWidth="1"/>
    <col min="4" max="4" width="22.28515625" bestFit="1" customWidth="1"/>
    <col min="5" max="5" width="15.42578125" bestFit="1" customWidth="1"/>
    <col min="6" max="6" width="13.7109375" bestFit="1" customWidth="1"/>
    <col min="7" max="8" width="2.28515625" customWidth="1"/>
    <col min="9" max="9" width="2.140625" customWidth="1"/>
    <col min="10" max="10" width="15.7109375" bestFit="1" customWidth="1"/>
    <col min="11" max="11" width="11.140625" bestFit="1" customWidth="1"/>
    <col min="12" max="12" width="14.28515625" bestFit="1" customWidth="1"/>
    <col min="14" max="14" width="2.5703125" customWidth="1"/>
    <col min="15" max="15" width="16.140625" bestFit="1" customWidth="1"/>
    <col min="16" max="16" width="15.5703125" customWidth="1"/>
    <col min="24" max="24" width="9.7109375" bestFit="1" customWidth="1"/>
    <col min="29" max="29" width="12.42578125" bestFit="1" customWidth="1"/>
    <col min="31" max="31" width="13.140625" bestFit="1" customWidth="1"/>
  </cols>
  <sheetData>
    <row r="1" spans="1:89" x14ac:dyDescent="0.25">
      <c r="C1" t="s">
        <v>42</v>
      </c>
      <c r="D1" s="87">
        <f>RTD("rtdtrading.rtdserver",, "IBOV_B_0", "ULT")</f>
        <v>141682.99000000002</v>
      </c>
      <c r="E1" s="87"/>
      <c r="J1" s="15" t="s">
        <v>6</v>
      </c>
      <c r="K1" s="15">
        <f>COUNTIF(P6:P87,"&gt;0")</f>
        <v>31</v>
      </c>
      <c r="L1" s="16" t="s">
        <v>40</v>
      </c>
      <c r="M1" s="16">
        <f>COUNTIF(P6:P87,"&lt;0")</f>
        <v>49</v>
      </c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89" ht="48.75" customHeight="1" x14ac:dyDescent="0.55000000000000004">
      <c r="C2" s="5" t="s">
        <v>2</v>
      </c>
      <c r="D2" s="86">
        <f>SUM(O6:O87)</f>
        <v>141682.99878601302</v>
      </c>
      <c r="E2" s="86"/>
      <c r="F2" s="6">
        <f>D2-D1</f>
        <v>8.7860130006447434E-3</v>
      </c>
      <c r="G2" t="s">
        <v>43</v>
      </c>
      <c r="L2" s="13" t="s">
        <v>44</v>
      </c>
      <c r="M2" s="14">
        <f>K1/(M1+K1)</f>
        <v>0.38750000000000001</v>
      </c>
      <c r="O2" s="11" t="s">
        <v>45</v>
      </c>
      <c r="P2" s="12">
        <f>SUM(P6:P87)</f>
        <v>-0.17422715634741959</v>
      </c>
      <c r="U2">
        <v>86</v>
      </c>
      <c r="AA2" s="2" t="s">
        <v>46</v>
      </c>
      <c r="AB2" s="2" t="s">
        <v>47</v>
      </c>
      <c r="AC2" s="2"/>
      <c r="AD2" s="2"/>
      <c r="AE2" s="2"/>
      <c r="AF2" s="2"/>
      <c r="AG2" s="2"/>
      <c r="AH2" s="2">
        <f ca="1">AF7</f>
        <v>3049.9999999999995</v>
      </c>
      <c r="AI2" s="2"/>
      <c r="AJ2" s="2"/>
    </row>
    <row r="3" spans="1:89" ht="26.25" x14ac:dyDescent="0.4">
      <c r="A3" s="26" t="s">
        <v>48</v>
      </c>
      <c r="B3" s="26">
        <f>COUNTIF(B6:B209,"&gt;&lt;0")-2</f>
        <v>82</v>
      </c>
      <c r="C3" s="8" t="s">
        <v>49</v>
      </c>
      <c r="D3" s="88">
        <f ca="1">D2+AH2</f>
        <v>144732.99878601302</v>
      </c>
      <c r="E3" s="88"/>
      <c r="F3" s="7">
        <f>AP17</f>
        <v>144710</v>
      </c>
      <c r="K3" s="6">
        <f>F3-D2</f>
        <v>3027.0012139869796</v>
      </c>
      <c r="L3">
        <f>COUNTIF(L6:L87,"&lt;&gt;0")</f>
        <v>0</v>
      </c>
      <c r="AA3" s="2" t="s">
        <v>9</v>
      </c>
      <c r="AB3" s="2"/>
      <c r="AC3" s="2"/>
      <c r="AD3" s="2"/>
      <c r="AE3" s="2"/>
      <c r="AF3" s="2"/>
      <c r="AG3" s="2"/>
      <c r="AH3" s="2">
        <f ca="1">AH2</f>
        <v>3049.9999999999995</v>
      </c>
      <c r="AI3" s="2"/>
      <c r="AJ3" s="2"/>
    </row>
    <row r="4" spans="1:89" x14ac:dyDescent="0.25">
      <c r="B4" s="4" t="s">
        <v>463</v>
      </c>
      <c r="J4" s="2" t="s">
        <v>50</v>
      </c>
      <c r="K4" t="s">
        <v>51</v>
      </c>
      <c r="L4" t="s">
        <v>52</v>
      </c>
      <c r="M4" s="9" t="s">
        <v>53</v>
      </c>
      <c r="O4" t="s">
        <v>54</v>
      </c>
      <c r="P4" t="s">
        <v>55</v>
      </c>
      <c r="Q4" t="s">
        <v>56</v>
      </c>
      <c r="S4" t="s">
        <v>57</v>
      </c>
      <c r="T4" t="s">
        <v>58</v>
      </c>
      <c r="U4" t="s">
        <v>59</v>
      </c>
      <c r="V4" t="s">
        <v>60</v>
      </c>
      <c r="X4" t="s">
        <v>61</v>
      </c>
      <c r="Y4" t="s">
        <v>54</v>
      </c>
      <c r="AA4" s="2" t="s">
        <v>62</v>
      </c>
      <c r="AB4" s="2"/>
      <c r="AC4" s="2">
        <f>DASH!E8</f>
        <v>3050</v>
      </c>
      <c r="AD4" s="2"/>
      <c r="AE4" s="4">
        <v>45</v>
      </c>
      <c r="AF4" s="2" t="s">
        <v>63</v>
      </c>
      <c r="AG4" s="2">
        <f>AC4/AE4</f>
        <v>67.777777777777771</v>
      </c>
      <c r="AH4" s="2">
        <f ca="1">AH3-$AG$4</f>
        <v>2982.2222222222217</v>
      </c>
      <c r="AI4" s="2">
        <v>1</v>
      </c>
      <c r="AJ4" s="2"/>
      <c r="AP4" t="s">
        <v>51</v>
      </c>
      <c r="AQ4" t="s">
        <v>64</v>
      </c>
      <c r="AR4" t="s">
        <v>65</v>
      </c>
      <c r="AS4" t="s">
        <v>66</v>
      </c>
      <c r="AT4" t="s">
        <v>50</v>
      </c>
    </row>
    <row r="5" spans="1:89" x14ac:dyDescent="0.25">
      <c r="B5" t="s">
        <v>67</v>
      </c>
      <c r="C5" t="s">
        <v>68</v>
      </c>
      <c r="D5" t="s">
        <v>69</v>
      </c>
      <c r="E5" s="2" t="s">
        <v>70</v>
      </c>
      <c r="F5" t="s">
        <v>71</v>
      </c>
      <c r="J5" s="2" t="s">
        <v>72</v>
      </c>
      <c r="K5" t="s">
        <v>73</v>
      </c>
      <c r="L5" t="s">
        <v>74</v>
      </c>
      <c r="AA5" s="2" t="s">
        <v>75</v>
      </c>
      <c r="AB5" s="2"/>
      <c r="AC5" s="28">
        <f ca="1">TODAY()</f>
        <v>45945</v>
      </c>
      <c r="AD5" s="2"/>
      <c r="AE5" s="2">
        <v>1</v>
      </c>
      <c r="AF5" s="2" t="s">
        <v>76</v>
      </c>
      <c r="AG5" s="2"/>
      <c r="AH5" s="2">
        <f ca="1">AH4-$AG$4</f>
        <v>2914.4444444444439</v>
      </c>
      <c r="AI5" s="2">
        <v>2</v>
      </c>
      <c r="AJ5" s="2"/>
      <c r="AM5" t="s">
        <v>58</v>
      </c>
      <c r="AN5" t="s">
        <v>78</v>
      </c>
      <c r="AO5" t="s">
        <v>79</v>
      </c>
      <c r="AP5" t="s">
        <v>80</v>
      </c>
      <c r="AQ5" t="s">
        <v>81</v>
      </c>
      <c r="AR5" t="s">
        <v>82</v>
      </c>
      <c r="AS5" t="s">
        <v>83</v>
      </c>
      <c r="AT5" t="s">
        <v>84</v>
      </c>
      <c r="AU5" t="s">
        <v>85</v>
      </c>
      <c r="AV5" t="s">
        <v>86</v>
      </c>
      <c r="AW5" t="s">
        <v>87</v>
      </c>
      <c r="AX5" t="s">
        <v>88</v>
      </c>
      <c r="AY5" t="s">
        <v>89</v>
      </c>
      <c r="AZ5" t="s">
        <v>90</v>
      </c>
      <c r="BA5" t="s">
        <v>91</v>
      </c>
      <c r="BB5" t="s">
        <v>92</v>
      </c>
      <c r="BC5" t="s">
        <v>93</v>
      </c>
      <c r="BD5" t="s">
        <v>94</v>
      </c>
      <c r="BE5" t="s">
        <v>95</v>
      </c>
      <c r="BF5" t="s">
        <v>96</v>
      </c>
      <c r="BG5" t="s">
        <v>97</v>
      </c>
      <c r="BH5" t="s">
        <v>98</v>
      </c>
      <c r="BI5" t="s">
        <v>99</v>
      </c>
      <c r="BJ5" t="s">
        <v>100</v>
      </c>
      <c r="BK5" t="s">
        <v>101</v>
      </c>
      <c r="BL5" t="s">
        <v>102</v>
      </c>
      <c r="BM5" t="s">
        <v>103</v>
      </c>
      <c r="BN5" t="s">
        <v>104</v>
      </c>
      <c r="BO5" t="s">
        <v>105</v>
      </c>
      <c r="BP5" t="s">
        <v>106</v>
      </c>
      <c r="BQ5" t="s">
        <v>107</v>
      </c>
      <c r="BR5" t="s">
        <v>108</v>
      </c>
      <c r="BS5" t="s">
        <v>109</v>
      </c>
      <c r="BT5" t="s">
        <v>110</v>
      </c>
      <c r="BU5" t="s">
        <v>111</v>
      </c>
      <c r="BV5" t="s">
        <v>112</v>
      </c>
      <c r="BW5" t="s">
        <v>113</v>
      </c>
      <c r="BX5" t="s">
        <v>114</v>
      </c>
      <c r="BY5" t="s">
        <v>115</v>
      </c>
      <c r="BZ5" t="s">
        <v>116</v>
      </c>
      <c r="CA5" t="s">
        <v>117</v>
      </c>
      <c r="CB5" t="s">
        <v>118</v>
      </c>
      <c r="CC5" t="s">
        <v>119</v>
      </c>
      <c r="CD5" t="s">
        <v>120</v>
      </c>
      <c r="CE5" t="s">
        <v>121</v>
      </c>
      <c r="CF5" t="s">
        <v>122</v>
      </c>
      <c r="CG5" t="s">
        <v>123</v>
      </c>
      <c r="CH5" t="s">
        <v>124</v>
      </c>
      <c r="CI5" t="s">
        <v>125</v>
      </c>
      <c r="CJ5" t="s">
        <v>126</v>
      </c>
      <c r="CK5" t="s">
        <v>127</v>
      </c>
    </row>
    <row r="6" spans="1:89" x14ac:dyDescent="0.25">
      <c r="B6" s="2" t="s">
        <v>128</v>
      </c>
      <c r="C6" t="s">
        <v>129</v>
      </c>
      <c r="D6" t="s">
        <v>142</v>
      </c>
      <c r="E6" s="76">
        <v>466632333</v>
      </c>
      <c r="F6">
        <v>0.52200000000000002</v>
      </c>
      <c r="J6" s="3">
        <f>RTD("rtdtrading.rtdserver",, $B6&amp;"_B_0", J$4)</f>
        <v>24.060000000000002</v>
      </c>
      <c r="K6" s="3">
        <f>RTD("rtdtrading.rtdserver",, $B6&amp;"_B_0", K$4)</f>
        <v>23.790000000000003</v>
      </c>
      <c r="L6" s="3">
        <f>RTD("rtdtrading.rtdserver",, $B6&amp;"_B_0", L$4)</f>
        <v>0</v>
      </c>
      <c r="M6" s="3">
        <f>IF(L6=0,K6,L6)</f>
        <v>23.790000000000003</v>
      </c>
      <c r="O6" s="33">
        <f>M6*$E6/$E$89</f>
        <v>739.15975742158128</v>
      </c>
      <c r="P6" s="10">
        <f t="shared" ref="P6:P53" si="0">IFERROR(M6/J6-1,0)</f>
        <v>-1.122194513715713E-2</v>
      </c>
      <c r="Q6">
        <v>9.9999999999999995E-7</v>
      </c>
      <c r="R6" s="17">
        <f>P6+Q6</f>
        <v>-1.1220945137157131E-2</v>
      </c>
      <c r="S6">
        <v>1</v>
      </c>
      <c r="T6" s="10" t="str">
        <f>_xlfn.XLOOKUP($U6,$R$6:$R$89,$B$6:$B$89)</f>
        <v>EMBR3</v>
      </c>
      <c r="U6" s="10">
        <f t="shared" ref="U6:U37" si="1">IFERROR(LARGE($R$6:$R$130,S6),"")</f>
        <v>4.8886868020304675E-2</v>
      </c>
      <c r="V6" t="str">
        <f>IF(L6&lt;&gt;0,L6,"")</f>
        <v/>
      </c>
      <c r="W6" s="10" t="str">
        <f>_xlfn.XLOOKUP($X6,$R$6:$R$87,$B$6:$B$87)</f>
        <v>COGN3</v>
      </c>
      <c r="X6" s="10">
        <f>IFERROR(SMALL($R$6:$R$89,S6),"")</f>
        <v>-3.9717099337748217E-2</v>
      </c>
      <c r="Y6" s="33">
        <f>M6*$E6/$E$89</f>
        <v>739.15975742158128</v>
      </c>
      <c r="Z6" s="80">
        <f>Y6-O6</f>
        <v>0</v>
      </c>
      <c r="AA6" s="2" t="s">
        <v>131</v>
      </c>
      <c r="AB6" s="2"/>
      <c r="AC6" s="28">
        <v>46008</v>
      </c>
      <c r="AD6" s="2"/>
      <c r="AE6" s="2"/>
      <c r="AF6" s="2"/>
      <c r="AG6" s="2"/>
      <c r="AH6" s="2">
        <f t="shared" ref="AH6:AH49" ca="1" si="2">AH5-$AG$4</f>
        <v>2846.6666666666661</v>
      </c>
      <c r="AI6" s="2">
        <v>3</v>
      </c>
      <c r="AJ6" s="2"/>
      <c r="AM6" t="s">
        <v>2</v>
      </c>
      <c r="AN6" t="str">
        <f>RTD("rtdtrading.rtdserver",, "IBOV_B_0", "DAT")</f>
        <v>14/10/2025</v>
      </c>
      <c r="AO6" t="str">
        <f>RTD("rtdtrading.rtdserver",, "IBOV_B_0", "HOR")</f>
        <v>17:22:00</v>
      </c>
      <c r="AP6">
        <f>RTD("rtdtrading.rtdserver",, "IBOV_B_0", "ULT")</f>
        <v>141682.99000000002</v>
      </c>
      <c r="AQ6">
        <f>RTD("rtdtrading.rtdserver",, "IBOV_B_0", "ABE")</f>
        <v>141788.35</v>
      </c>
      <c r="AR6">
        <f>RTD("rtdtrading.rtdserver",, "IBOV_B_0", "MAX")</f>
        <v>142588.97</v>
      </c>
      <c r="AS6">
        <f>RTD("rtdtrading.rtdserver",, "IBOV_B_0", "MIN")</f>
        <v>141334.32</v>
      </c>
      <c r="AT6">
        <f>RTD("rtdtrading.rtdserver",, "IBOV_B_0", "FEC")</f>
        <v>141783.36000000002</v>
      </c>
      <c r="AU6">
        <f>RTD("rtdtrading.rtdserver",, "IBOV_B_0", "PEX")</f>
        <v>0</v>
      </c>
      <c r="AV6">
        <f>RTD("rtdtrading.rtdserver",, "IBOV_B_0", "VAR")</f>
        <v>-7.0791099886471393E-2</v>
      </c>
      <c r="AW6">
        <f>RTD("rtdtrading.rtdserver",, "IBOV_B_0", "VARPTS")</f>
        <v>-100.36999999999534</v>
      </c>
      <c r="AX6">
        <f>RTD("rtdtrading.rtdserver",, "IBOV_B_0", "MED")</f>
        <v>141848.6575</v>
      </c>
      <c r="AY6" t="s">
        <v>132</v>
      </c>
      <c r="AZ6">
        <f>RTD("rtdtrading.rtdserver",, "IBOV_B_0", "NEG")</f>
        <v>1070854</v>
      </c>
      <c r="BA6">
        <f>RTD("rtdtrading.rtdserver",, "IBOV_B_0", "QUL")</f>
        <v>0</v>
      </c>
      <c r="BB6">
        <f>RTD("rtdtrading.rtdserver",, "IBOV_B_0", "QTT")</f>
        <v>712225900</v>
      </c>
      <c r="BC6">
        <f>RTD("rtdtrading.rtdserver",, "IBOV_B_0", "VOL")</f>
        <v>14402550000</v>
      </c>
      <c r="BD6">
        <f>RTD("rtdtrading.rtdserver",, "IBOV_B_0", "OCP")</f>
        <v>0</v>
      </c>
      <c r="BE6">
        <f>RTD("rtdtrading.rtdserver",, "IBOV_B_0", "OVD")</f>
        <v>0</v>
      </c>
      <c r="BF6">
        <f>RTD("rtdtrading.rtdserver",, "IBOV_B_0", "VOC")</f>
        <v>0</v>
      </c>
      <c r="BG6">
        <f>RTD("rtdtrading.rtdserver",, "IBOV_B_0", "VOV")</f>
        <v>0</v>
      </c>
      <c r="BH6">
        <f>RTD("rtdtrading.rtdserver",, "IBOV_B_0", "AJU")</f>
        <v>141975</v>
      </c>
      <c r="BI6">
        <f>RTD("rtdtrading.rtdserver",, "IBOV_B_0", "AJA")</f>
        <v>141995</v>
      </c>
      <c r="BJ6">
        <f>RTD("rtdtrading.rtdserver",, "IBOV_B_0", "PRT")</f>
        <v>0</v>
      </c>
      <c r="BK6">
        <f>RTD("rtdtrading.rtdserver",, "IBOV_B_0", "QTE")</f>
        <v>0</v>
      </c>
      <c r="BL6">
        <f>RTD("rtdtrading.rtdserver",, "IBOV_B_0", "VPJ")</f>
        <v>14402550000</v>
      </c>
      <c r="BM6">
        <f>RTD("rtdtrading.rtdserver",, "IBOV_B_0", "SEM")</f>
        <v>0.71271508158142305</v>
      </c>
      <c r="BN6">
        <f>RTD("rtdtrading.rtdserver",, "IBOV_B_0", "MES")</f>
        <v>-3.1141430535168166</v>
      </c>
      <c r="BO6">
        <f>RTD("rtdtrading.rtdserver",, "IBOV_B_0", "3M")</f>
        <v>4.7184387703115886</v>
      </c>
      <c r="BP6">
        <f>RTD("rtdtrading.rtdserver",, "IBOV_B_0", "6M")</f>
        <v>10.96516826124823</v>
      </c>
      <c r="BQ6">
        <f>RTD("rtdtrading.rtdserver",, "IBOV_B_0", "12M")</f>
        <v>8.9933795304321595</v>
      </c>
      <c r="BR6">
        <f>RTD("rtdtrading.rtdserver",, "IBOV_B_0", "ANO")</f>
        <v>17.790975313301761</v>
      </c>
      <c r="BS6">
        <f>RTD("rtdtrading.rtdserver",, "IBOV_B_0", "TRIM")</f>
        <v>-3.1141430535168166</v>
      </c>
      <c r="BT6">
        <f>RTD("rtdtrading.rtdserver",, "IBOV_B_0", "SEMES")</f>
        <v>2.0369436806558903</v>
      </c>
      <c r="BU6" t="str">
        <f>RTD("rtdtrading.rtdserver",, "IBOV_B_0", "VEN")</f>
        <v>01/01/9999</v>
      </c>
      <c r="BV6" t="str">
        <f>RTD("rtdtrading.rtdserver",, "IBOV_B_0", "VAL")</f>
        <v>31/12/9999</v>
      </c>
      <c r="BW6">
        <f>RTD("rtdtrading.rtdserver",, "IBOV_B_0", "CAB")</f>
        <v>0</v>
      </c>
      <c r="BX6" t="str">
        <f>RTD("rtdtrading.rtdserver",, "IBOV_B_0", "EST")</f>
        <v>Fechado</v>
      </c>
      <c r="BY6" t="str">
        <f>RTD("rtdtrading.rtdserver",, "IBOV_B_0", "BLACK")</f>
        <v>-</v>
      </c>
      <c r="BZ6" t="str">
        <f>RTD("rtdtrading.rtdserver",, "IBOV_B_0", "IMPVT")</f>
        <v>-</v>
      </c>
      <c r="CA6" t="str">
        <f>RTD("rtdtrading.rtdserver",, "IBOV_B_0", "DELTA")</f>
        <v>-</v>
      </c>
      <c r="CB6" t="str">
        <f>RTD("rtdtrading.rtdserver",, "IBOV_B_0", "GAMA")</f>
        <v>-</v>
      </c>
      <c r="CC6" t="str">
        <f>RTD("rtdtrading.rtdserver",, "IBOV_B_0", "THETA")</f>
        <v>-</v>
      </c>
      <c r="CD6" t="str">
        <f>RTD("rtdtrading.rtdserver",, "IBOV_B_0", "RHO")</f>
        <v>-</v>
      </c>
      <c r="CE6" t="str">
        <f>RTD("rtdtrading.rtdserver",, "IBOV_B_0", "VEGA")</f>
        <v>-</v>
      </c>
      <c r="CF6" t="str">
        <f>RTD("rtdtrading.rtdserver",, "IBOV_B_0", "VIA")</f>
        <v>-</v>
      </c>
      <c r="CG6" t="str">
        <f>RTD("rtdtrading.rtdserver",, "IBOV_B_0", "VIB")</f>
        <v>-</v>
      </c>
      <c r="CH6" t="str">
        <f>RTD("rtdtrading.rtdserver",, "IBOV_B_0", "DOBRAR")</f>
        <v>-</v>
      </c>
      <c r="CI6" t="str">
        <f>RTD("rtdtrading.rtdserver",, "IBOV_B_0", "VIVH")</f>
        <v>-</v>
      </c>
      <c r="CJ6" t="str">
        <f>RTD("rtdtrading.rtdserver",, "IBOV_B_0", "VINT")</f>
        <v>-</v>
      </c>
      <c r="CK6" t="str">
        <f>RTD("rtdtrading.rtdserver",, "IBOV_B_0", "VEXT")</f>
        <v>-</v>
      </c>
    </row>
    <row r="7" spans="1:89" x14ac:dyDescent="0.25">
      <c r="B7" t="s">
        <v>133</v>
      </c>
      <c r="C7" t="s">
        <v>134</v>
      </c>
      <c r="D7" t="s">
        <v>135</v>
      </c>
      <c r="E7" s="76">
        <v>4273841357</v>
      </c>
      <c r="F7">
        <v>2.42</v>
      </c>
      <c r="J7" s="3">
        <f>RTD("rtdtrading.rtdserver",, $B7&amp;"_B_0", J$4)</f>
        <v>11.860000000000001</v>
      </c>
      <c r="K7" s="3">
        <f>RTD("rtdtrading.rtdserver",, $B7&amp;"_B_0", K$4)</f>
        <v>12.05</v>
      </c>
      <c r="L7" s="3">
        <f>RTD("rtdtrading.rtdserver",, $B7&amp;"_B_0", L$4)</f>
        <v>0</v>
      </c>
      <c r="M7" s="3">
        <f t="shared" ref="M7:M70" si="3">IF(L7=0,K7,L7)</f>
        <v>12.05</v>
      </c>
      <c r="O7" s="33">
        <f t="shared" ref="O7:O70" si="4">M7*$E7/$E$89</f>
        <v>3429.0552973054332</v>
      </c>
      <c r="P7" s="10">
        <f t="shared" si="0"/>
        <v>1.6020236087689765E-2</v>
      </c>
      <c r="Q7">
        <v>1.9999999999999999E-6</v>
      </c>
      <c r="R7" s="17">
        <f t="shared" ref="R7:R70" si="5">P7+Q7</f>
        <v>1.6022236087689764E-2</v>
      </c>
      <c r="S7">
        <v>2</v>
      </c>
      <c r="T7" s="10" t="str">
        <f t="shared" ref="T7:T70" si="6">_xlfn.XLOOKUP($U7,$R$6:$R$89,$B$6:$B$89)</f>
        <v>RAIZ4</v>
      </c>
      <c r="U7" s="10">
        <f t="shared" si="1"/>
        <v>3.5356117647058698E-2</v>
      </c>
      <c r="V7" t="str">
        <f t="shared" ref="V7:V70" si="7">IF(L7&lt;&gt;0,L7,"")</f>
        <v/>
      </c>
      <c r="W7" s="10" t="str">
        <f t="shared" ref="W7:W70" si="8">_xlfn.XLOOKUP($X7,$R$6:$R$87,$B$6:$B$87)</f>
        <v>MBRF3</v>
      </c>
      <c r="X7" s="10">
        <f t="shared" ref="X7:X70" si="9">IFERROR(SMALL($R$6:$R$89,S7),"")</f>
        <v>-3.7081270610446825E-2</v>
      </c>
      <c r="Y7" s="33">
        <f t="shared" ref="Y7:Y70" si="10">M7*$E7/$E$89</f>
        <v>3429.0552973054332</v>
      </c>
      <c r="Z7" s="80">
        <f t="shared" ref="Z7:Z70" si="11">Y7-O7</f>
        <v>0</v>
      </c>
      <c r="AA7" s="2" t="s">
        <v>136</v>
      </c>
      <c r="AB7" s="2"/>
      <c r="AC7" s="2">
        <f ca="1">NETWORKDAYS(hoje,vencimento,feriadosWIN)</f>
        <v>45</v>
      </c>
      <c r="AD7" s="2"/>
      <c r="AE7" s="2" t="s">
        <v>137</v>
      </c>
      <c r="AF7" s="2">
        <f ca="1">(AC4/AE4)*AC7</f>
        <v>3049.9999999999995</v>
      </c>
      <c r="AG7" s="2"/>
      <c r="AH7" s="2">
        <f t="shared" ca="1" si="2"/>
        <v>2778.8888888888882</v>
      </c>
      <c r="AI7" s="2">
        <v>4</v>
      </c>
      <c r="AJ7" s="2"/>
      <c r="AM7" t="s">
        <v>138</v>
      </c>
      <c r="AN7" t="str">
        <f>RTD("rtdtrading.rtdserver",, "ECOR3_B_0", "DAT")</f>
        <v>14/10/2025</v>
      </c>
      <c r="AO7" t="str">
        <f>RTD("rtdtrading.rtdserver",, "ECOR3_B_0", "HOR")</f>
        <v>17:56:35</v>
      </c>
      <c r="AP7">
        <f>RTD("rtdtrading.rtdserver",, "ECOR3_B_0", "ULT")</f>
        <v>7.4300000000000006</v>
      </c>
      <c r="AQ7">
        <f>RTD("rtdtrading.rtdserver",, "ECOR3_B_0", "ABE")</f>
        <v>7.47</v>
      </c>
      <c r="AR7">
        <f>RTD("rtdtrading.rtdserver",, "ECOR3_B_0", "MAX")</f>
        <v>7.57</v>
      </c>
      <c r="AS7">
        <f>RTD("rtdtrading.rtdserver",, "ECOR3_B_0", "MIN")</f>
        <v>7.42</v>
      </c>
      <c r="AT7">
        <f>RTD("rtdtrading.rtdserver",, "ECOR3_B_0", "FEC")</f>
        <v>7.49</v>
      </c>
      <c r="AU7">
        <f>RTD("rtdtrading.rtdserver",, "ECOR3_B_0", "PEX")</f>
        <v>0</v>
      </c>
      <c r="AV7">
        <f>RTD("rtdtrading.rtdserver",, "ECOR3_B_0", "VAR")</f>
        <v>-0.80106809078771168</v>
      </c>
      <c r="AW7">
        <f>RTD("rtdtrading.rtdserver",, "ECOR3_B_0", "VARPTS")</f>
        <v>-5.9999999999999609E-2</v>
      </c>
      <c r="AX7">
        <f>RTD("rtdtrading.rtdserver",, "ECOR3_B_0", "MED")</f>
        <v>7.4827686907162594</v>
      </c>
      <c r="AY7" t="s">
        <v>139</v>
      </c>
      <c r="AZ7">
        <f>RTD("rtdtrading.rtdserver",, "ECOR3_B_0", "NEG")</f>
        <v>2656</v>
      </c>
      <c r="BA7">
        <f>RTD("rtdtrading.rtdserver",, "ECOR3_B_0", "QUL")</f>
        <v>0</v>
      </c>
      <c r="BB7">
        <f>RTD("rtdtrading.rtdserver",, "ECOR3_B_0", "QTT")</f>
        <v>1338900</v>
      </c>
      <c r="BC7">
        <f>RTD("rtdtrading.rtdserver",, "ECOR3_B_0", "VOL")</f>
        <v>10018679</v>
      </c>
      <c r="BD7">
        <f>RTD("rtdtrading.rtdserver",, "ECOR3_B_0", "OCP")</f>
        <v>7.36</v>
      </c>
      <c r="BE7">
        <f>RTD("rtdtrading.rtdserver",, "ECOR3_B_0", "OVD")</f>
        <v>7.6000000000000005</v>
      </c>
      <c r="BF7">
        <f>RTD("rtdtrading.rtdserver",, "ECOR3_B_0", "VOC")</f>
        <v>1000</v>
      </c>
      <c r="BG7">
        <f>RTD("rtdtrading.rtdserver",, "ECOR3_B_0", "VOV")</f>
        <v>1600</v>
      </c>
      <c r="BH7">
        <f>RTD("rtdtrading.rtdserver",, "ECOR3_B_0", "AJU")</f>
        <v>0</v>
      </c>
      <c r="BI7">
        <f>RTD("rtdtrading.rtdserver",, "ECOR3_B_0", "AJA")</f>
        <v>0</v>
      </c>
      <c r="BJ7">
        <f>RTD("rtdtrading.rtdserver",, "ECOR3_B_0", "PRT")</f>
        <v>0</v>
      </c>
      <c r="BK7">
        <f>RTD("rtdtrading.rtdserver",, "ECOR3_B_0", "QTE")</f>
        <v>0</v>
      </c>
      <c r="BL7">
        <f>RTD("rtdtrading.rtdserver",, "ECOR3_B_0", "VPJ")</f>
        <v>10018679</v>
      </c>
      <c r="BM7">
        <f>RTD("rtdtrading.rtdserver",, "ECOR3_B_0", "SEM")</f>
        <v>0.54127198917456065</v>
      </c>
      <c r="BN7">
        <f>RTD("rtdtrading.rtdserver",, "ECOR3_B_0", "MES")</f>
        <v>-5.1085568326947568</v>
      </c>
      <c r="BO7">
        <f>RTD("rtdtrading.rtdserver",, "ECOR3_B_0", "3M")</f>
        <v>13.058827109772055</v>
      </c>
      <c r="BP7">
        <f>RTD("rtdtrading.rtdserver",, "ECOR3_B_0", "6M")</f>
        <v>28.14542695020782</v>
      </c>
      <c r="BQ7">
        <f>RTD("rtdtrading.rtdserver",, "ECOR3_B_0", "12M")</f>
        <v>9.2486399058961979</v>
      </c>
      <c r="BR7">
        <f>RTD("rtdtrading.rtdserver",, "ECOR3_B_0", "ANO")</f>
        <v>83.456790123456813</v>
      </c>
      <c r="BS7">
        <f>RTD("rtdtrading.rtdserver",, "ECOR3_B_0", "TRIM")</f>
        <v>-5.1085568326947568</v>
      </c>
      <c r="BT7">
        <f>RTD("rtdtrading.rtdserver",, "ECOR3_B_0", "SEMES")</f>
        <v>3.8521748853852151</v>
      </c>
      <c r="BU7" t="str">
        <f>RTD("rtdtrading.rtdserver",, "ECOR3_B_0", "VEN")</f>
        <v>-</v>
      </c>
      <c r="BV7" t="str">
        <f>RTD("rtdtrading.rtdserver",, "ECOR3_B_0", "VAL")</f>
        <v>31/12/9999</v>
      </c>
      <c r="BW7">
        <f>RTD("rtdtrading.rtdserver",, "ECOR3_B_0", "CAB")</f>
        <v>0</v>
      </c>
      <c r="BX7" t="str">
        <f>RTD("rtdtrading.rtdserver",, "ECOR3_B_0", "EST")</f>
        <v>Pré-Fechamento</v>
      </c>
      <c r="BY7" t="str">
        <f>RTD("rtdtrading.rtdserver",, "ECOR3_B_0", "BLACK")</f>
        <v>-</v>
      </c>
      <c r="BZ7" t="str">
        <f>RTD("rtdtrading.rtdserver",, "ECOR3_B_0", "IMPVT")</f>
        <v>-</v>
      </c>
      <c r="CA7" t="str">
        <f>RTD("rtdtrading.rtdserver",, "ECOR3_B_0", "DELTA")</f>
        <v>-</v>
      </c>
      <c r="CB7" t="str">
        <f>RTD("rtdtrading.rtdserver",, "ECOR3_B_0", "GAMA")</f>
        <v>-</v>
      </c>
      <c r="CC7" t="str">
        <f>RTD("rtdtrading.rtdserver",, "ECOR3_B_0", "THETA")</f>
        <v>-</v>
      </c>
      <c r="CD7" t="str">
        <f>RTD("rtdtrading.rtdserver",, "ECOR3_B_0", "RHO")</f>
        <v>-</v>
      </c>
      <c r="CE7" t="str">
        <f>RTD("rtdtrading.rtdserver",, "ECOR3_B_0", "VEGA")</f>
        <v>-</v>
      </c>
      <c r="CF7" t="str">
        <f>RTD("rtdtrading.rtdserver",, "ECOR3_B_0", "VIA")</f>
        <v>-</v>
      </c>
      <c r="CG7" t="str">
        <f>RTD("rtdtrading.rtdserver",, "ECOR3_B_0", "VIB")</f>
        <v>-</v>
      </c>
      <c r="CH7" t="str">
        <f>RTD("rtdtrading.rtdserver",, "ECOR3_B_0", "DOBRAR")</f>
        <v>-</v>
      </c>
      <c r="CI7" t="str">
        <f>RTD("rtdtrading.rtdserver",, "ECOR3_B_0", "VIVH")</f>
        <v>-</v>
      </c>
      <c r="CJ7" t="str">
        <f>RTD("rtdtrading.rtdserver",, "ECOR3_B_0", "VINT")</f>
        <v>-</v>
      </c>
      <c r="CK7" t="str">
        <f>RTD("rtdtrading.rtdserver",, "ECOR3_B_0", "VEXT")</f>
        <v>-</v>
      </c>
    </row>
    <row r="8" spans="1:89" x14ac:dyDescent="0.25">
      <c r="B8" t="s">
        <v>140</v>
      </c>
      <c r="C8" t="s">
        <v>141</v>
      </c>
      <c r="D8" t="s">
        <v>142</v>
      </c>
      <c r="E8" s="76">
        <v>1344470815</v>
      </c>
      <c r="F8">
        <v>0.51700000000000002</v>
      </c>
      <c r="J8" s="3">
        <f>RTD("rtdtrading.rtdserver",, $B8&amp;"_B_0", J$4)</f>
        <v>8.0500000000000007</v>
      </c>
      <c r="K8" s="3">
        <f>RTD("rtdtrading.rtdserver",, $B8&amp;"_B_0", K$4)</f>
        <v>8.1900000000000013</v>
      </c>
      <c r="L8" s="3">
        <f>RTD("rtdtrading.rtdserver",, $B8&amp;"_B_0", L$4)</f>
        <v>0</v>
      </c>
      <c r="M8" s="3">
        <f t="shared" si="3"/>
        <v>8.1900000000000013</v>
      </c>
      <c r="O8" s="33">
        <f t="shared" si="4"/>
        <v>733.16939111221109</v>
      </c>
      <c r="P8" s="10">
        <f t="shared" si="0"/>
        <v>1.7391304347826209E-2</v>
      </c>
      <c r="Q8">
        <v>3.0000000000000001E-6</v>
      </c>
      <c r="R8" s="17">
        <f t="shared" si="5"/>
        <v>1.7394304347826208E-2</v>
      </c>
      <c r="S8">
        <v>3</v>
      </c>
      <c r="T8" s="10" t="str">
        <f t="shared" si="6"/>
        <v>USIM5</v>
      </c>
      <c r="U8" s="10">
        <f t="shared" si="1"/>
        <v>2.8837061946902533E-2</v>
      </c>
      <c r="V8" t="str">
        <f t="shared" si="7"/>
        <v/>
      </c>
      <c r="W8" s="10" t="str">
        <f t="shared" si="8"/>
        <v>EGIE3</v>
      </c>
      <c r="X8" s="10">
        <f t="shared" si="9"/>
        <v>-3.4907759036144438E-2</v>
      </c>
      <c r="Y8" s="33">
        <f t="shared" si="10"/>
        <v>733.16939111221109</v>
      </c>
      <c r="Z8" s="80">
        <f t="shared" si="11"/>
        <v>0</v>
      </c>
      <c r="AA8" s="2"/>
      <c r="AB8" s="2" t="s">
        <v>143</v>
      </c>
      <c r="AC8" s="2"/>
      <c r="AD8" s="2"/>
      <c r="AE8" s="2"/>
      <c r="AF8" s="2"/>
      <c r="AG8" s="2"/>
      <c r="AH8" s="2">
        <f t="shared" ca="1" si="2"/>
        <v>2711.1111111111104</v>
      </c>
      <c r="AI8" s="2">
        <v>5</v>
      </c>
      <c r="AJ8" s="2"/>
      <c r="AM8" t="s">
        <v>144</v>
      </c>
      <c r="AN8" t="str">
        <f>RTD("rtdtrading.rtdserver",, "CIEL3_B_0", "DAT")</f>
        <v>30/12/1899</v>
      </c>
      <c r="AO8" t="str">
        <f>RTD("rtdtrading.rtdserver",, "CIEL3_B_0", "HOR")</f>
        <v>00:00:00</v>
      </c>
      <c r="AP8">
        <f>RTD("rtdtrading.rtdserver",, "CIEL3_B_0", "ULT")</f>
        <v>0</v>
      </c>
      <c r="AQ8">
        <f>RTD("rtdtrading.rtdserver",, "CIEL3_B_0", "ABE")</f>
        <v>0</v>
      </c>
      <c r="AR8">
        <f>RTD("rtdtrading.rtdserver",, "CIEL3_B_0", "MAX")</f>
        <v>0</v>
      </c>
      <c r="AS8">
        <f>RTD("rtdtrading.rtdserver",, "CIEL3_B_0", "MIN")</f>
        <v>0</v>
      </c>
      <c r="AT8">
        <f>RTD("rtdtrading.rtdserver",, "CIEL3_B_0", "FEC")</f>
        <v>0</v>
      </c>
      <c r="AU8">
        <f>RTD("rtdtrading.rtdserver",, "CIEL3_B_0", "PEX")</f>
        <v>0</v>
      </c>
      <c r="AV8">
        <f>RTD("rtdtrading.rtdserver",, "CIEL3_B_0", "VAR")</f>
        <v>0</v>
      </c>
      <c r="AW8">
        <f>RTD("rtdtrading.rtdserver",, "CIEL3_B_0", "VARPTS")</f>
        <v>0</v>
      </c>
      <c r="AX8">
        <f>RTD("rtdtrading.rtdserver",, "CIEL3_B_0", "MED")</f>
        <v>0</v>
      </c>
      <c r="AY8" t="s">
        <v>145</v>
      </c>
      <c r="AZ8">
        <f>RTD("rtdtrading.rtdserver",, "CIEL3_B_0", "NEG")</f>
        <v>0</v>
      </c>
      <c r="BA8">
        <f>RTD("rtdtrading.rtdserver",, "CIEL3_B_0", "QUL")</f>
        <v>0</v>
      </c>
      <c r="BB8">
        <f>RTD("rtdtrading.rtdserver",, "CIEL3_B_0", "QTT")</f>
        <v>0</v>
      </c>
      <c r="BC8">
        <f>RTD("rtdtrading.rtdserver",, "CIEL3_B_0", "VOL")</f>
        <v>0</v>
      </c>
      <c r="BD8">
        <f>RTD("rtdtrading.rtdserver",, "CIEL3_B_0", "OCP")</f>
        <v>0</v>
      </c>
      <c r="BE8">
        <f>RTD("rtdtrading.rtdserver",, "CIEL3_B_0", "OVD")</f>
        <v>0</v>
      </c>
      <c r="BF8">
        <f>RTD("rtdtrading.rtdserver",, "CIEL3_B_0", "VOC")</f>
        <v>0</v>
      </c>
      <c r="BG8">
        <f>RTD("rtdtrading.rtdserver",, "CIEL3_B_0", "VOV")</f>
        <v>0</v>
      </c>
      <c r="BH8">
        <f>RTD("rtdtrading.rtdserver",, "CIEL3_B_0", "AJU")</f>
        <v>0</v>
      </c>
      <c r="BI8">
        <f>RTD("rtdtrading.rtdserver",, "CIEL3_B_0", "AJA")</f>
        <v>0</v>
      </c>
      <c r="BJ8">
        <f>RTD("rtdtrading.rtdserver",, "CIEL3_B_0", "PRT")</f>
        <v>0</v>
      </c>
      <c r="BK8">
        <f>RTD("rtdtrading.rtdserver",, "CIEL3_B_0", "QTE")</f>
        <v>0</v>
      </c>
      <c r="BL8">
        <f>RTD("rtdtrading.rtdserver",, "CIEL3_B_0", "VPJ")</f>
        <v>0</v>
      </c>
      <c r="BM8">
        <f>RTD("rtdtrading.rtdserver",, "CIEL3_B_0", "SEM")</f>
        <v>0</v>
      </c>
      <c r="BN8">
        <f>RTD("rtdtrading.rtdserver",, "CIEL3_B_0", "MES")</f>
        <v>0</v>
      </c>
      <c r="BO8">
        <f>RTD("rtdtrading.rtdserver",, "CIEL3_B_0", "3M")</f>
        <v>0</v>
      </c>
      <c r="BP8">
        <f>RTD("rtdtrading.rtdserver",, "CIEL3_B_0", "6M")</f>
        <v>0</v>
      </c>
      <c r="BQ8">
        <f>RTD("rtdtrading.rtdserver",, "CIEL3_B_0", "12M")</f>
        <v>0</v>
      </c>
      <c r="BR8">
        <f>RTD("rtdtrading.rtdserver",, "CIEL3_B_0", "ANO")</f>
        <v>0</v>
      </c>
      <c r="BS8">
        <f>RTD("rtdtrading.rtdserver",, "CIEL3_B_0", "TRIM")</f>
        <v>0</v>
      </c>
      <c r="BT8">
        <f>RTD("rtdtrading.rtdserver",, "CIEL3_B_0", "SEMES")</f>
        <v>0</v>
      </c>
      <c r="BU8" t="str">
        <f>RTD("rtdtrading.rtdserver",, "CIEL3_B_0", "VEN")</f>
        <v>-</v>
      </c>
      <c r="BV8" t="str">
        <f>RTD("rtdtrading.rtdserver",, "CIEL3_B_0", "VAL")</f>
        <v>31/12/9999</v>
      </c>
      <c r="BW8">
        <f>RTD("rtdtrading.rtdserver",, "CIEL3_B_0", "CAB")</f>
        <v>0</v>
      </c>
      <c r="BX8" t="str">
        <f>RTD("rtdtrading.rtdserver",, "CIEL3_B_0", "EST")</f>
        <v>NONE</v>
      </c>
      <c r="BY8" t="str">
        <f>RTD("rtdtrading.rtdserver",, "CIEL3_B_0", "BLACK")</f>
        <v>-</v>
      </c>
      <c r="BZ8" t="str">
        <f>RTD("rtdtrading.rtdserver",, "CIEL3_B_0", "IMPVT")</f>
        <v>-</v>
      </c>
      <c r="CA8" t="str">
        <f>RTD("rtdtrading.rtdserver",, "CIEL3_B_0", "DELTA")</f>
        <v>-</v>
      </c>
      <c r="CB8" t="str">
        <f>RTD("rtdtrading.rtdserver",, "CIEL3_B_0", "GAMA")</f>
        <v>-</v>
      </c>
      <c r="CC8" t="str">
        <f>RTD("rtdtrading.rtdserver",, "CIEL3_B_0", "THETA")</f>
        <v>-</v>
      </c>
      <c r="CD8" t="str">
        <f>RTD("rtdtrading.rtdserver",, "CIEL3_B_0", "RHO")</f>
        <v>-</v>
      </c>
      <c r="CE8" t="str">
        <f>RTD("rtdtrading.rtdserver",, "CIEL3_B_0", "VEGA")</f>
        <v>-</v>
      </c>
      <c r="CF8" t="str">
        <f>RTD("rtdtrading.rtdserver",, "CIEL3_B_0", "VIA")</f>
        <v>-</v>
      </c>
      <c r="CG8" t="str">
        <f>RTD("rtdtrading.rtdserver",, "CIEL3_B_0", "VIB")</f>
        <v>-</v>
      </c>
      <c r="CH8" t="str">
        <f>RTD("rtdtrading.rtdserver",, "CIEL3_B_0", "DOBRAR")</f>
        <v>-</v>
      </c>
      <c r="CI8" t="str">
        <f>RTD("rtdtrading.rtdserver",, "CIEL3_B_0", "VIVH")</f>
        <v>-</v>
      </c>
      <c r="CJ8" t="str">
        <f>RTD("rtdtrading.rtdserver",, "CIEL3_B_0", "VINT")</f>
        <v>-</v>
      </c>
      <c r="CK8" t="str">
        <f>RTD("rtdtrading.rtdserver",, "CIEL3_B_0", "VEXT")</f>
        <v>-</v>
      </c>
    </row>
    <row r="9" spans="1:89" x14ac:dyDescent="0.25">
      <c r="B9" t="s">
        <v>146</v>
      </c>
      <c r="C9" t="s">
        <v>147</v>
      </c>
      <c r="D9" t="s">
        <v>142</v>
      </c>
      <c r="E9" s="76">
        <v>318338365</v>
      </c>
      <c r="F9">
        <v>0.156</v>
      </c>
      <c r="J9" s="3">
        <f>RTD("rtdtrading.rtdserver",, $B9&amp;"_B_0", J$4)</f>
        <v>10.74</v>
      </c>
      <c r="K9" s="3">
        <f>RTD("rtdtrading.rtdserver",, $B9&amp;"_B_0", K$4)</f>
        <v>10.46</v>
      </c>
      <c r="L9" s="3">
        <f>RTD("rtdtrading.rtdserver",, $B9&amp;"_B_0", L$4)</f>
        <v>0</v>
      </c>
      <c r="M9" s="3">
        <f t="shared" si="3"/>
        <v>10.46</v>
      </c>
      <c r="O9" s="33">
        <f t="shared" si="4"/>
        <v>221.71226072861489</v>
      </c>
      <c r="P9" s="10">
        <f t="shared" si="0"/>
        <v>-2.6070763500931071E-2</v>
      </c>
      <c r="Q9">
        <v>3.9999999999999998E-6</v>
      </c>
      <c r="R9" s="17">
        <f t="shared" si="5"/>
        <v>-2.6066763500931071E-2</v>
      </c>
      <c r="S9">
        <v>4</v>
      </c>
      <c r="T9" s="10" t="str">
        <f t="shared" si="6"/>
        <v>BEEF3</v>
      </c>
      <c r="U9" s="10">
        <f t="shared" si="1"/>
        <v>2.4817801857585205E-2</v>
      </c>
      <c r="V9" t="str">
        <f t="shared" si="7"/>
        <v/>
      </c>
      <c r="W9" s="10" t="str">
        <f t="shared" si="8"/>
        <v>BRAV3</v>
      </c>
      <c r="X9" s="10">
        <f t="shared" si="9"/>
        <v>-3.3958587399629467E-2</v>
      </c>
      <c r="Y9" s="33">
        <f t="shared" si="10"/>
        <v>221.71226072861489</v>
      </c>
      <c r="Z9" s="80">
        <f t="shared" si="11"/>
        <v>0</v>
      </c>
      <c r="AA9" s="2"/>
      <c r="AB9" s="34">
        <v>45658</v>
      </c>
      <c r="AC9" s="2"/>
      <c r="AD9" s="2"/>
      <c r="AE9" s="2"/>
      <c r="AF9" s="2"/>
      <c r="AG9" s="2"/>
      <c r="AH9" s="2">
        <f t="shared" ca="1" si="2"/>
        <v>2643.3333333333326</v>
      </c>
      <c r="AI9" s="2">
        <v>6</v>
      </c>
      <c r="AJ9" s="2"/>
      <c r="AM9" t="s">
        <v>148</v>
      </c>
      <c r="AN9" t="str">
        <f>RTD("rtdtrading.rtdserver",, "VIVT3_B_0", "DAT")</f>
        <v>14/10/2025</v>
      </c>
      <c r="AO9" t="str">
        <f>RTD("rtdtrading.rtdserver",, "VIVT3_B_0", "HOR")</f>
        <v>17:07:54</v>
      </c>
      <c r="AP9">
        <f>RTD("rtdtrading.rtdserver",, "VIVT3_B_0", "ULT")</f>
        <v>32.29</v>
      </c>
      <c r="AQ9">
        <f>RTD("rtdtrading.rtdserver",, "VIVT3_B_0", "ABE")</f>
        <v>32.25</v>
      </c>
      <c r="AR9">
        <f>RTD("rtdtrading.rtdserver",, "VIVT3_B_0", "MAX")</f>
        <v>32.33</v>
      </c>
      <c r="AS9">
        <f>RTD("rtdtrading.rtdserver",, "VIVT3_B_0", "MIN")</f>
        <v>31.95</v>
      </c>
      <c r="AT9">
        <f>RTD("rtdtrading.rtdserver",, "VIVT3_B_0", "FEC")</f>
        <v>32.270000000000003</v>
      </c>
      <c r="AU9">
        <f>RTD("rtdtrading.rtdserver",, "VIVT3_B_0", "PEX")</f>
        <v>0</v>
      </c>
      <c r="AV9">
        <f>RTD("rtdtrading.rtdserver",, "VIVT3_B_0", "VAR")</f>
        <v>6.1977068484648339E-2</v>
      </c>
      <c r="AW9">
        <f>RTD("rtdtrading.rtdserver",, "VIVT3_B_0", "VARPTS")</f>
        <v>1.9999999999996021E-2</v>
      </c>
      <c r="AX9">
        <f>RTD("rtdtrading.rtdserver",, "VIVT3_B_0", "MED")</f>
        <v>32.20080988500122</v>
      </c>
      <c r="AY9" t="s">
        <v>149</v>
      </c>
      <c r="AZ9">
        <f>RTD("rtdtrading.rtdserver",, "VIVT3_B_0", "NEG")</f>
        <v>8974</v>
      </c>
      <c r="BA9">
        <f>RTD("rtdtrading.rtdserver",, "VIVT3_B_0", "QUL")</f>
        <v>0</v>
      </c>
      <c r="BB9">
        <f>RTD("rtdtrading.rtdserver",, "VIVT3_B_0", "QTT")</f>
        <v>3269600</v>
      </c>
      <c r="BC9">
        <f>RTD("rtdtrading.rtdserver",, "VIVT3_B_0", "VOL")</f>
        <v>105283768</v>
      </c>
      <c r="BD9">
        <f>RTD("rtdtrading.rtdserver",, "VIVT3_B_0", "OCP")</f>
        <v>31.900000000000002</v>
      </c>
      <c r="BE9">
        <f>RTD("rtdtrading.rtdserver",, "VIVT3_B_0", "OVD")</f>
        <v>32.5</v>
      </c>
      <c r="BF9">
        <f>RTD("rtdtrading.rtdserver",, "VIVT3_B_0", "VOC")</f>
        <v>200</v>
      </c>
      <c r="BG9">
        <f>RTD("rtdtrading.rtdserver",, "VIVT3_B_0", "VOV")</f>
        <v>100</v>
      </c>
      <c r="BH9">
        <f>RTD("rtdtrading.rtdserver",, "VIVT3_B_0", "AJU")</f>
        <v>0</v>
      </c>
      <c r="BI9">
        <f>RTD("rtdtrading.rtdserver",, "VIVT3_B_0", "AJA")</f>
        <v>0</v>
      </c>
      <c r="BJ9">
        <f>RTD("rtdtrading.rtdserver",, "VIVT3_B_0", "PRT")</f>
        <v>0</v>
      </c>
      <c r="BK9">
        <f>RTD("rtdtrading.rtdserver",, "VIVT3_B_0", "QTE")</f>
        <v>0</v>
      </c>
      <c r="BL9">
        <f>RTD("rtdtrading.rtdserver",, "VIVT3_B_0", "VPJ")</f>
        <v>105283768</v>
      </c>
      <c r="BM9">
        <f>RTD("rtdtrading.rtdserver",, "VIVT3_B_0", "SEM")</f>
        <v>-0.21631644004944467</v>
      </c>
      <c r="BN9">
        <f>RTD("rtdtrading.rtdserver",, "VIVT3_B_0", "MES")</f>
        <v>-5.2245377164661022</v>
      </c>
      <c r="BO9">
        <f>RTD("rtdtrading.rtdserver",, "VIVT3_B_0", "3M")</f>
        <v>4.6182357782054391</v>
      </c>
      <c r="BP9">
        <f>RTD("rtdtrading.rtdserver",, "VIVT3_B_0", "6M")</f>
        <v>30.187964165047198</v>
      </c>
      <c r="BQ9">
        <f>RTD("rtdtrading.rtdserver",, "VIVT3_B_0", "12M")</f>
        <v>30.022307946299843</v>
      </c>
      <c r="BR9">
        <f>RTD("rtdtrading.rtdserver",, "VIVT3_B_0", "ANO")</f>
        <v>44.528592401618504</v>
      </c>
      <c r="BS9">
        <f>RTD("rtdtrading.rtdserver",, "VIVT3_B_0", "TRIM")</f>
        <v>-5.2245377164661022</v>
      </c>
      <c r="BT9">
        <f>RTD("rtdtrading.rtdserver",, "VIVT3_B_0", "SEMES")</f>
        <v>5.3631095332567584</v>
      </c>
      <c r="BU9" t="str">
        <f>RTD("rtdtrading.rtdserver",, "VIVT3_B_0", "VEN")</f>
        <v>-</v>
      </c>
      <c r="BV9" t="str">
        <f>RTD("rtdtrading.rtdserver",, "VIVT3_B_0", "VAL")</f>
        <v>31/12/9999</v>
      </c>
      <c r="BW9">
        <f>RTD("rtdtrading.rtdserver",, "VIVT3_B_0", "CAB")</f>
        <v>0</v>
      </c>
      <c r="BX9" t="str">
        <f>RTD("rtdtrading.rtdserver",, "VIVT3_B_0", "EST")</f>
        <v>Pré-Fechamento</v>
      </c>
      <c r="BY9" t="str">
        <f>RTD("rtdtrading.rtdserver",, "VIVT3_B_0", "BLACK")</f>
        <v>-</v>
      </c>
      <c r="BZ9" t="str">
        <f>RTD("rtdtrading.rtdserver",, "VIVT3_B_0", "IMPVT")</f>
        <v>-</v>
      </c>
      <c r="CA9" t="str">
        <f>RTD("rtdtrading.rtdserver",, "VIVT3_B_0", "DELTA")</f>
        <v>-</v>
      </c>
      <c r="CB9" t="str">
        <f>RTD("rtdtrading.rtdserver",, "VIVT3_B_0", "GAMA")</f>
        <v>-</v>
      </c>
      <c r="CC9" t="str">
        <f>RTD("rtdtrading.rtdserver",, "VIVT3_B_0", "THETA")</f>
        <v>-</v>
      </c>
      <c r="CD9" t="str">
        <f>RTD("rtdtrading.rtdserver",, "VIVT3_B_0", "RHO")</f>
        <v>-</v>
      </c>
      <c r="CE9" t="str">
        <f>RTD("rtdtrading.rtdserver",, "VIVT3_B_0", "VEGA")</f>
        <v>-</v>
      </c>
      <c r="CF9" t="str">
        <f>RTD("rtdtrading.rtdserver",, "VIVT3_B_0", "VIA")</f>
        <v>-</v>
      </c>
      <c r="CG9" t="str">
        <f>RTD("rtdtrading.rtdserver",, "VIVT3_B_0", "VIB")</f>
        <v>-</v>
      </c>
      <c r="CH9" t="str">
        <f>RTD("rtdtrading.rtdserver",, "VIVT3_B_0", "DOBRAR")</f>
        <v>-</v>
      </c>
      <c r="CI9" t="str">
        <f>RTD("rtdtrading.rtdserver",, "VIVT3_B_0", "VIVH")</f>
        <v>-</v>
      </c>
      <c r="CJ9" t="str">
        <f>RTD("rtdtrading.rtdserver",, "VIVT3_B_0", "VINT")</f>
        <v>-</v>
      </c>
      <c r="CK9" t="str">
        <f>RTD("rtdtrading.rtdserver",, "VIVT3_B_0", "VEXT")</f>
        <v>-</v>
      </c>
    </row>
    <row r="10" spans="1:89" x14ac:dyDescent="0.25">
      <c r="B10" t="s">
        <v>150</v>
      </c>
      <c r="C10" t="s">
        <v>151</v>
      </c>
      <c r="D10" t="s">
        <v>301</v>
      </c>
      <c r="E10" s="76">
        <v>134911449</v>
      </c>
      <c r="F10">
        <v>0.159</v>
      </c>
      <c r="J10" s="3">
        <f>RTD("rtdtrading.rtdserver",, $B10&amp;"_B_0", J$4)</f>
        <v>24.66</v>
      </c>
      <c r="K10" s="3">
        <f>RTD("rtdtrading.rtdserver",, $B10&amp;"_B_0", K$4)</f>
        <v>25</v>
      </c>
      <c r="L10" s="3">
        <f>RTD("rtdtrading.rtdserver",, $B10&amp;"_B_0", L$4)</f>
        <v>0</v>
      </c>
      <c r="M10" s="3">
        <f t="shared" si="3"/>
        <v>25</v>
      </c>
      <c r="O10" s="33">
        <f t="shared" si="4"/>
        <v>224.57316508757231</v>
      </c>
      <c r="P10" s="10">
        <f t="shared" si="0"/>
        <v>1.3787510137875048E-2</v>
      </c>
      <c r="Q10">
        <v>5.0000000000000004E-6</v>
      </c>
      <c r="R10" s="17">
        <f t="shared" si="5"/>
        <v>1.3792510137875047E-2</v>
      </c>
      <c r="S10">
        <v>5</v>
      </c>
      <c r="T10" s="10" t="str">
        <f t="shared" si="6"/>
        <v>MGLU3</v>
      </c>
      <c r="U10" s="10">
        <f t="shared" si="1"/>
        <v>2.0977232558139748E-2</v>
      </c>
      <c r="V10" t="str">
        <f t="shared" si="7"/>
        <v/>
      </c>
      <c r="W10" s="10" t="str">
        <f t="shared" si="8"/>
        <v>NATU3</v>
      </c>
      <c r="X10" s="10">
        <f t="shared" si="9"/>
        <v>-2.7100663518299983E-2</v>
      </c>
      <c r="Y10" s="33">
        <f t="shared" si="10"/>
        <v>224.57316508757231</v>
      </c>
      <c r="Z10" s="80">
        <f t="shared" si="11"/>
        <v>0</v>
      </c>
      <c r="AA10" s="2"/>
      <c r="AB10" s="34">
        <v>45719</v>
      </c>
      <c r="AC10" s="2"/>
      <c r="AD10" s="2"/>
      <c r="AE10" s="2"/>
      <c r="AF10" s="2"/>
      <c r="AG10" s="2"/>
      <c r="AH10" s="2">
        <f t="shared" ca="1" si="2"/>
        <v>2575.5555555555547</v>
      </c>
      <c r="AI10" s="2">
        <v>7</v>
      </c>
      <c r="AJ10" s="2"/>
      <c r="AM10" t="s">
        <v>152</v>
      </c>
      <c r="AN10" t="str">
        <f>RTD("rtdtrading.rtdserver",, "CSNA3_B_0", "DAT")</f>
        <v>14/10/2025</v>
      </c>
      <c r="AO10" t="str">
        <f>RTD("rtdtrading.rtdserver",, "CSNA3_B_0", "HOR")</f>
        <v>17:07:59</v>
      </c>
      <c r="AP10">
        <f>RTD("rtdtrading.rtdserver",, "CSNA3_B_0", "ULT")</f>
        <v>8.4500000000000011</v>
      </c>
      <c r="AQ10">
        <f>RTD("rtdtrading.rtdserver",, "CSNA3_B_0", "ABE")</f>
        <v>8.2899999999999991</v>
      </c>
      <c r="AR10">
        <f>RTD("rtdtrading.rtdserver",, "CSNA3_B_0", "MAX")</f>
        <v>8.4700000000000006</v>
      </c>
      <c r="AS10">
        <f>RTD("rtdtrading.rtdserver",, "CSNA3_B_0", "MIN")</f>
        <v>8.27</v>
      </c>
      <c r="AT10">
        <f>RTD("rtdtrading.rtdserver",, "CSNA3_B_0", "FEC")</f>
        <v>8.41</v>
      </c>
      <c r="AU10">
        <f>RTD("rtdtrading.rtdserver",, "CSNA3_B_0", "PEX")</f>
        <v>0</v>
      </c>
      <c r="AV10">
        <f>RTD("rtdtrading.rtdserver",, "CSNA3_B_0", "VAR")</f>
        <v>0.47562425683710968</v>
      </c>
      <c r="AW10">
        <f>RTD("rtdtrading.rtdserver",, "CSNA3_B_0", "VARPTS")</f>
        <v>4.0000000000000924E-2</v>
      </c>
      <c r="AX10">
        <f>RTD("rtdtrading.rtdserver",, "CSNA3_B_0", "MED")</f>
        <v>8.4037311937510619</v>
      </c>
      <c r="AY10" t="s">
        <v>153</v>
      </c>
      <c r="AZ10">
        <f>RTD("rtdtrading.rtdserver",, "CSNA3_B_0", "NEG")</f>
        <v>8940</v>
      </c>
      <c r="BA10">
        <f>RTD("rtdtrading.rtdserver",, "CSNA3_B_0", "QUL")</f>
        <v>0</v>
      </c>
      <c r="BB10">
        <f>RTD("rtdtrading.rtdserver",, "CSNA3_B_0", "QTT")</f>
        <v>5889000</v>
      </c>
      <c r="BC10">
        <f>RTD("rtdtrading.rtdserver",, "CSNA3_B_0", "VOL")</f>
        <v>49489573</v>
      </c>
      <c r="BD10">
        <f>RTD("rtdtrading.rtdserver",, "CSNA3_B_0", "OCP")</f>
        <v>8.42</v>
      </c>
      <c r="BE10">
        <f>RTD("rtdtrading.rtdserver",, "CSNA3_B_0", "OVD")</f>
        <v>8.4600000000000009</v>
      </c>
      <c r="BF10">
        <f>RTD("rtdtrading.rtdserver",, "CSNA3_B_0", "VOC")</f>
        <v>11800</v>
      </c>
      <c r="BG10">
        <f>RTD("rtdtrading.rtdserver",, "CSNA3_B_0", "VOV")</f>
        <v>500</v>
      </c>
      <c r="BH10">
        <f>RTD("rtdtrading.rtdserver",, "CSNA3_B_0", "AJU")</f>
        <v>0</v>
      </c>
      <c r="BI10">
        <f>RTD("rtdtrading.rtdserver",, "CSNA3_B_0", "AJA")</f>
        <v>0</v>
      </c>
      <c r="BJ10">
        <f>RTD("rtdtrading.rtdserver",, "CSNA3_B_0", "PRT")</f>
        <v>0</v>
      </c>
      <c r="BK10">
        <f>RTD("rtdtrading.rtdserver",, "CSNA3_B_0", "QTE")</f>
        <v>0</v>
      </c>
      <c r="BL10">
        <f>RTD("rtdtrading.rtdserver",, "CSNA3_B_0", "VPJ")</f>
        <v>49489573</v>
      </c>
      <c r="BM10">
        <f>RTD("rtdtrading.rtdserver",, "CSNA3_B_0", "SEM")</f>
        <v>6.8268015170670164</v>
      </c>
      <c r="BN10">
        <f>RTD("rtdtrading.rtdserver",, "CSNA3_B_0", "MES")</f>
        <v>6.9620253164557058</v>
      </c>
      <c r="BO10">
        <f>RTD("rtdtrading.rtdserver",, "CSNA3_B_0", "3M")</f>
        <v>3.0487804878048776</v>
      </c>
      <c r="BP10">
        <f>RTD("rtdtrading.rtdserver",, "CSNA3_B_0", "6M")</f>
        <v>-2.0857473928157555</v>
      </c>
      <c r="BQ10">
        <f>RTD("rtdtrading.rtdserver",, "CSNA3_B_0", "12M")</f>
        <v>-25.219915396732684</v>
      </c>
      <c r="BR10">
        <f>RTD("rtdtrading.rtdserver",, "CSNA3_B_0", "ANO")</f>
        <v>-4.6275395033860054</v>
      </c>
      <c r="BS10">
        <f>RTD("rtdtrading.rtdserver",, "CSNA3_B_0", "TRIM")</f>
        <v>6.9620253164557058</v>
      </c>
      <c r="BT10">
        <f>RTD("rtdtrading.rtdserver",, "CSNA3_B_0", "SEMES")</f>
        <v>13.575268817204309</v>
      </c>
      <c r="BU10" t="str">
        <f>RTD("rtdtrading.rtdserver",, "CSNA3_B_0", "VEN")</f>
        <v>-</v>
      </c>
      <c r="BV10" t="str">
        <f>RTD("rtdtrading.rtdserver",, "CSNA3_B_0", "VAL")</f>
        <v>31/12/9999</v>
      </c>
      <c r="BW10">
        <f>RTD("rtdtrading.rtdserver",, "CSNA3_B_0", "CAB")</f>
        <v>0</v>
      </c>
      <c r="BX10" t="str">
        <f>RTD("rtdtrading.rtdserver",, "CSNA3_B_0", "EST")</f>
        <v>Pré-Fechamento</v>
      </c>
      <c r="BY10" t="str">
        <f>RTD("rtdtrading.rtdserver",, "CSNA3_B_0", "BLACK")</f>
        <v>-</v>
      </c>
      <c r="BZ10" t="str">
        <f>RTD("rtdtrading.rtdserver",, "CSNA3_B_0", "IMPVT")</f>
        <v>-</v>
      </c>
      <c r="CA10" t="str">
        <f>RTD("rtdtrading.rtdserver",, "CSNA3_B_0", "DELTA")</f>
        <v>-</v>
      </c>
      <c r="CB10" t="str">
        <f>RTD("rtdtrading.rtdserver",, "CSNA3_B_0", "GAMA")</f>
        <v>-</v>
      </c>
      <c r="CC10" t="str">
        <f>RTD("rtdtrading.rtdserver",, "CSNA3_B_0", "THETA")</f>
        <v>-</v>
      </c>
      <c r="CD10" t="str">
        <f>RTD("rtdtrading.rtdserver",, "CSNA3_B_0", "RHO")</f>
        <v>-</v>
      </c>
      <c r="CE10" t="str">
        <f>RTD("rtdtrading.rtdserver",, "CSNA3_B_0", "VEGA")</f>
        <v>-</v>
      </c>
      <c r="CF10" t="str">
        <f>RTD("rtdtrading.rtdserver",, "CSNA3_B_0", "VIA")</f>
        <v>-</v>
      </c>
      <c r="CG10" t="str">
        <f>RTD("rtdtrading.rtdserver",, "CSNA3_B_0", "VIB")</f>
        <v>-</v>
      </c>
      <c r="CH10" t="str">
        <f>RTD("rtdtrading.rtdserver",, "CSNA3_B_0", "DOBRAR")</f>
        <v>-</v>
      </c>
      <c r="CI10" t="str">
        <f>RTD("rtdtrading.rtdserver",, "CSNA3_B_0", "VIVH")</f>
        <v>-</v>
      </c>
      <c r="CJ10" t="str">
        <f>RTD("rtdtrading.rtdserver",, "CSNA3_B_0", "VINT")</f>
        <v>-</v>
      </c>
      <c r="CK10" t="str">
        <f>RTD("rtdtrading.rtdserver",, "CSNA3_B_0", "VEXT")</f>
        <v>-</v>
      </c>
    </row>
    <row r="11" spans="1:89" x14ac:dyDescent="0.25">
      <c r="B11" t="s">
        <v>154</v>
      </c>
      <c r="C11" t="s">
        <v>155</v>
      </c>
      <c r="D11" t="s">
        <v>142</v>
      </c>
      <c r="E11" s="76">
        <v>5196371458</v>
      </c>
      <c r="F11">
        <v>3.0649999999999999</v>
      </c>
      <c r="J11" s="3">
        <f>RTD("rtdtrading.rtdserver",, $B11&amp;"_B_0", J$4)</f>
        <v>12.71</v>
      </c>
      <c r="K11" s="3">
        <f>RTD("rtdtrading.rtdserver",, $B11&amp;"_B_0", K$4)</f>
        <v>12.55</v>
      </c>
      <c r="L11" s="3">
        <f>RTD("rtdtrading.rtdserver",, $B11&amp;"_B_0", L$4)</f>
        <v>0</v>
      </c>
      <c r="M11" s="3">
        <f t="shared" si="3"/>
        <v>12.55</v>
      </c>
      <c r="O11" s="33">
        <f t="shared" si="4"/>
        <v>4342.2313536746533</v>
      </c>
      <c r="P11" s="10">
        <f t="shared" si="0"/>
        <v>-1.2588512981903999E-2</v>
      </c>
      <c r="Q11">
        <v>6.0000000000000002E-6</v>
      </c>
      <c r="R11" s="17">
        <f t="shared" si="5"/>
        <v>-1.2582512981903998E-2</v>
      </c>
      <c r="S11">
        <v>6</v>
      </c>
      <c r="T11" s="10" t="str">
        <f t="shared" si="6"/>
        <v>ASAI3</v>
      </c>
      <c r="U11" s="10">
        <f t="shared" si="1"/>
        <v>1.7394304347826208E-2</v>
      </c>
      <c r="V11" t="str">
        <f t="shared" si="7"/>
        <v/>
      </c>
      <c r="W11" s="10" t="str">
        <f t="shared" si="8"/>
        <v>PRIO3</v>
      </c>
      <c r="X11" s="10">
        <f t="shared" si="9"/>
        <v>-2.6938245179063434E-2</v>
      </c>
      <c r="Y11" s="33">
        <f t="shared" si="10"/>
        <v>4342.2313536746533</v>
      </c>
      <c r="Z11" s="80">
        <f t="shared" si="11"/>
        <v>0</v>
      </c>
      <c r="AA11" s="2"/>
      <c r="AB11" s="34">
        <v>45720</v>
      </c>
      <c r="AC11" s="2"/>
      <c r="AD11" s="2"/>
      <c r="AE11" s="2"/>
      <c r="AF11" s="2"/>
      <c r="AG11" s="2"/>
      <c r="AH11" s="2">
        <f t="shared" ca="1" si="2"/>
        <v>2507.7777777777769</v>
      </c>
      <c r="AI11" s="2">
        <v>8</v>
      </c>
      <c r="AJ11" s="2"/>
      <c r="AM11" t="s">
        <v>26</v>
      </c>
      <c r="AN11" t="str">
        <f>RTD("rtdtrading.rtdserver",, "PETR4_B_0", "DAT")</f>
        <v>14/10/2025</v>
      </c>
      <c r="AO11" t="str">
        <f>RTD("rtdtrading.rtdserver",, "PETR4_B_0", "HOR")</f>
        <v>17:07:40</v>
      </c>
      <c r="AP11">
        <f>RTD("rtdtrading.rtdserver",, "PETR4_B_0", "ULT")</f>
        <v>30.020000000000003</v>
      </c>
      <c r="AQ11">
        <f>RTD("rtdtrading.rtdserver",, "PETR4_B_0", "ABE")</f>
        <v>29.95</v>
      </c>
      <c r="AR11">
        <f>RTD("rtdtrading.rtdserver",, "PETR4_B_0", "MAX")</f>
        <v>30.46</v>
      </c>
      <c r="AS11">
        <f>RTD("rtdtrading.rtdserver",, "PETR4_B_0", "MIN")</f>
        <v>29.88</v>
      </c>
      <c r="AT11">
        <f>RTD("rtdtrading.rtdserver",, "PETR4_B_0", "FEC")</f>
        <v>30.23</v>
      </c>
      <c r="AU11">
        <f>RTD("rtdtrading.rtdserver",, "PETR4_B_0", "PEX")</f>
        <v>0</v>
      </c>
      <c r="AV11">
        <f>RTD("rtdtrading.rtdserver",, "PETR4_B_0", "VAR")</f>
        <v>-0.69467416473700727</v>
      </c>
      <c r="AW11">
        <f>RTD("rtdtrading.rtdserver",, "PETR4_B_0", "VARPTS")</f>
        <v>-0.2099999999999973</v>
      </c>
      <c r="AX11">
        <f>RTD("rtdtrading.rtdserver",, "PETR4_B_0", "MED")</f>
        <v>30.148304598520376</v>
      </c>
      <c r="AY11" t="s">
        <v>156</v>
      </c>
      <c r="AZ11">
        <f>RTD("rtdtrading.rtdserver",, "PETR4_B_0", "NEG")</f>
        <v>31189</v>
      </c>
      <c r="BA11">
        <f>RTD("rtdtrading.rtdserver",, "PETR4_B_0", "QUL")</f>
        <v>0</v>
      </c>
      <c r="BB11">
        <f>RTD("rtdtrading.rtdserver",, "PETR4_B_0", "QTT")</f>
        <v>28061200</v>
      </c>
      <c r="BC11">
        <f>RTD("rtdtrading.rtdserver",, "PETR4_B_0", "VOL")</f>
        <v>845997605</v>
      </c>
      <c r="BD11">
        <f>RTD("rtdtrading.rtdserver",, "PETR4_B_0", "OCP")</f>
        <v>30.05</v>
      </c>
      <c r="BE11">
        <f>RTD("rtdtrading.rtdserver",, "PETR4_B_0", "OVD")</f>
        <v>30.1</v>
      </c>
      <c r="BF11">
        <f>RTD("rtdtrading.rtdserver",, "PETR4_B_0", "VOC")</f>
        <v>100</v>
      </c>
      <c r="BG11">
        <f>RTD("rtdtrading.rtdserver",, "PETR4_B_0", "VOV")</f>
        <v>20000</v>
      </c>
      <c r="BH11">
        <f>RTD("rtdtrading.rtdserver",, "PETR4_B_0", "AJU")</f>
        <v>0</v>
      </c>
      <c r="BI11">
        <f>RTD("rtdtrading.rtdserver",, "PETR4_B_0", "AJA")</f>
        <v>0</v>
      </c>
      <c r="BJ11">
        <f>RTD("rtdtrading.rtdserver",, "PETR4_B_0", "PRT")</f>
        <v>0</v>
      </c>
      <c r="BK11">
        <f>RTD("rtdtrading.rtdserver",, "PETR4_B_0", "QTE")</f>
        <v>0</v>
      </c>
      <c r="BL11">
        <f>RTD("rtdtrading.rtdserver",, "PETR4_B_0", "VPJ")</f>
        <v>845997605</v>
      </c>
      <c r="BM11">
        <f>RTD("rtdtrading.rtdserver",, "PETR4_B_0", "SEM")</f>
        <v>0.26720106880428141</v>
      </c>
      <c r="BN11">
        <f>RTD("rtdtrading.rtdserver",, "PETR4_B_0", "MES")</f>
        <v>-4.5772409408772976</v>
      </c>
      <c r="BO11">
        <f>RTD("rtdtrading.rtdserver",, "PETR4_B_0", "3M")</f>
        <v>-4.8820055258421746</v>
      </c>
      <c r="BP11">
        <f>RTD("rtdtrading.rtdserver",, "PETR4_B_0", "6M")</f>
        <v>1.1660039091460539</v>
      </c>
      <c r="BQ11">
        <f>RTD("rtdtrading.rtdserver",, "PETR4_B_0", "12M")</f>
        <v>-7.8793532529144281</v>
      </c>
      <c r="BR11">
        <f>RTD("rtdtrading.rtdserver",, "PETR4_B_0", "ANO")</f>
        <v>-10.96611551864758</v>
      </c>
      <c r="BS11">
        <f>RTD("rtdtrading.rtdserver",, "PETR4_B_0", "TRIM")</f>
        <v>-4.5772409408772976</v>
      </c>
      <c r="BT11">
        <f>RTD("rtdtrading.rtdserver",, "PETR4_B_0", "SEMES")</f>
        <v>-2.3965198279421602</v>
      </c>
      <c r="BU11" t="str">
        <f>RTD("rtdtrading.rtdserver",, "PETR4_B_0", "VEN")</f>
        <v>-</v>
      </c>
      <c r="BV11" t="str">
        <f>RTD("rtdtrading.rtdserver",, "PETR4_B_0", "VAL")</f>
        <v>31/12/9999</v>
      </c>
      <c r="BW11">
        <f>RTD("rtdtrading.rtdserver",, "PETR4_B_0", "CAB")</f>
        <v>0</v>
      </c>
      <c r="BX11" t="str">
        <f>RTD("rtdtrading.rtdserver",, "PETR4_B_0", "EST")</f>
        <v>Pré-Fechamento</v>
      </c>
      <c r="BY11" t="str">
        <f>RTD("rtdtrading.rtdserver",, "PETR4_B_0", "BLACK")</f>
        <v>-</v>
      </c>
      <c r="BZ11" t="str">
        <f>RTD("rtdtrading.rtdserver",, "PETR4_B_0", "IMPVT")</f>
        <v>-</v>
      </c>
      <c r="CA11" t="str">
        <f>RTD("rtdtrading.rtdserver",, "PETR4_B_0", "DELTA")</f>
        <v>-</v>
      </c>
      <c r="CB11" t="str">
        <f>RTD("rtdtrading.rtdserver",, "PETR4_B_0", "GAMA")</f>
        <v>-</v>
      </c>
      <c r="CC11" t="str">
        <f>RTD("rtdtrading.rtdserver",, "PETR4_B_0", "THETA")</f>
        <v>-</v>
      </c>
      <c r="CD11" t="str">
        <f>RTD("rtdtrading.rtdserver",, "PETR4_B_0", "RHO")</f>
        <v>-</v>
      </c>
      <c r="CE11" t="str">
        <f>RTD("rtdtrading.rtdserver",, "PETR4_B_0", "VEGA")</f>
        <v>-</v>
      </c>
      <c r="CF11" t="str">
        <f>RTD("rtdtrading.rtdserver",, "PETR4_B_0", "VIA")</f>
        <v>-</v>
      </c>
      <c r="CG11" t="str">
        <f>RTD("rtdtrading.rtdserver",, "PETR4_B_0", "VIB")</f>
        <v>-</v>
      </c>
      <c r="CH11" t="str">
        <f>RTD("rtdtrading.rtdserver",, "PETR4_B_0", "DOBRAR")</f>
        <v>-</v>
      </c>
      <c r="CI11" t="str">
        <f>RTD("rtdtrading.rtdserver",, "PETR4_B_0", "VIVH")</f>
        <v>-</v>
      </c>
      <c r="CJ11" t="str">
        <f>RTD("rtdtrading.rtdserver",, "PETR4_B_0", "VINT")</f>
        <v>-</v>
      </c>
      <c r="CK11" t="str">
        <f>RTD("rtdtrading.rtdserver",, "PETR4_B_0", "VEXT")</f>
        <v>-</v>
      </c>
    </row>
    <row r="12" spans="1:89" x14ac:dyDescent="0.25">
      <c r="B12" t="s">
        <v>157</v>
      </c>
      <c r="C12" t="s">
        <v>158</v>
      </c>
      <c r="D12" t="s">
        <v>142</v>
      </c>
      <c r="E12" s="76">
        <v>616186808</v>
      </c>
      <c r="F12">
        <v>0.94099999999999995</v>
      </c>
      <c r="J12" s="3">
        <f>RTD("rtdtrading.rtdserver",, $B12&amp;"_B_0", J$4)</f>
        <v>32.450000000000003</v>
      </c>
      <c r="K12" s="3">
        <f>RTD("rtdtrading.rtdserver",, $B12&amp;"_B_0", K$4)</f>
        <v>32.480000000000004</v>
      </c>
      <c r="L12" s="3">
        <f>RTD("rtdtrading.rtdserver",, $B12&amp;"_B_0", L$4)</f>
        <v>0</v>
      </c>
      <c r="M12" s="3">
        <f t="shared" si="3"/>
        <v>32.480000000000004</v>
      </c>
      <c r="O12" s="33">
        <f t="shared" si="4"/>
        <v>1332.5927962399433</v>
      </c>
      <c r="P12" s="10">
        <f t="shared" si="0"/>
        <v>9.2449922958404152E-4</v>
      </c>
      <c r="Q12">
        <v>6.9999999999999999E-6</v>
      </c>
      <c r="R12" s="17">
        <f t="shared" si="5"/>
        <v>9.3149922958404147E-4</v>
      </c>
      <c r="S12">
        <v>7</v>
      </c>
      <c r="T12" s="10" t="str">
        <f t="shared" si="6"/>
        <v>ABEV3</v>
      </c>
      <c r="U12" s="10">
        <f t="shared" si="1"/>
        <v>1.6022236087689764E-2</v>
      </c>
      <c r="V12" t="str">
        <f t="shared" si="7"/>
        <v/>
      </c>
      <c r="W12" s="10" t="str">
        <f t="shared" si="8"/>
        <v>AURE3</v>
      </c>
      <c r="X12" s="10">
        <f t="shared" si="9"/>
        <v>-2.6066763500931071E-2</v>
      </c>
      <c r="Y12" s="33">
        <f t="shared" si="10"/>
        <v>1332.5927962399433</v>
      </c>
      <c r="Z12" s="80">
        <f t="shared" si="11"/>
        <v>0</v>
      </c>
      <c r="AA12" s="2"/>
      <c r="AB12" s="34">
        <v>45765</v>
      </c>
      <c r="AC12" s="2"/>
      <c r="AD12" s="2"/>
      <c r="AE12" s="2"/>
      <c r="AF12" s="2"/>
      <c r="AG12" s="2"/>
      <c r="AH12" s="2">
        <f t="shared" ca="1" si="2"/>
        <v>2439.9999999999991</v>
      </c>
      <c r="AI12" s="2">
        <v>9</v>
      </c>
      <c r="AJ12" s="2"/>
      <c r="AM12" t="s">
        <v>159</v>
      </c>
      <c r="AN12" t="str">
        <f>RTD("rtdtrading.rtdserver",, "VALE3_B_0", "DAT")</f>
        <v>14/10/2025</v>
      </c>
      <c r="AO12" t="str">
        <f>RTD("rtdtrading.rtdserver",, "VALE3_B_0", "HOR")</f>
        <v>17:07:35</v>
      </c>
      <c r="AP12">
        <f>RTD("rtdtrading.rtdserver",, "VALE3_B_0", "ULT")</f>
        <v>59.75</v>
      </c>
      <c r="AQ12">
        <f>RTD("rtdtrading.rtdserver",, "VALE3_B_0", "ABE")</f>
        <v>59.3</v>
      </c>
      <c r="AR12">
        <f>RTD("rtdtrading.rtdserver",, "VALE3_B_0", "MAX")</f>
        <v>60.13</v>
      </c>
      <c r="AS12">
        <f>RTD("rtdtrading.rtdserver",, "VALE3_B_0", "MIN")</f>
        <v>59.22</v>
      </c>
      <c r="AT12">
        <f>RTD("rtdtrading.rtdserver",, "VALE3_B_0", "FEC")</f>
        <v>59.75</v>
      </c>
      <c r="AU12">
        <f>RTD("rtdtrading.rtdserver",, "VALE3_B_0", "PEX")</f>
        <v>0</v>
      </c>
      <c r="AV12">
        <f>RTD("rtdtrading.rtdserver",, "VALE3_B_0", "VAR")</f>
        <v>0</v>
      </c>
      <c r="AW12">
        <f>RTD("rtdtrading.rtdserver",, "VALE3_B_0", "VARPTS")</f>
        <v>0</v>
      </c>
      <c r="AX12">
        <f>RTD("rtdtrading.rtdserver",, "VALE3_B_0", "MED")</f>
        <v>59.846389933063378</v>
      </c>
      <c r="AY12" t="s">
        <v>160</v>
      </c>
      <c r="AZ12">
        <f>RTD("rtdtrading.rtdserver",, "VALE3_B_0", "NEG")</f>
        <v>31681</v>
      </c>
      <c r="BA12">
        <f>RTD("rtdtrading.rtdserver",, "VALE3_B_0", "QUL")</f>
        <v>0</v>
      </c>
      <c r="BB12">
        <f>RTD("rtdtrading.rtdserver",, "VALE3_B_0", "QTT")</f>
        <v>19286900</v>
      </c>
      <c r="BC12">
        <f>RTD("rtdtrading.rtdserver",, "VALE3_B_0", "VOL")</f>
        <v>1154251338</v>
      </c>
      <c r="BD12">
        <f>RTD("rtdtrading.rtdserver",, "VALE3_B_0", "OCP")</f>
        <v>59.550000000000004</v>
      </c>
      <c r="BE12">
        <f>RTD("rtdtrading.rtdserver",, "VALE3_B_0", "OVD")</f>
        <v>59.75</v>
      </c>
      <c r="BF12">
        <f>RTD("rtdtrading.rtdserver",, "VALE3_B_0", "VOC")</f>
        <v>100</v>
      </c>
      <c r="BG12">
        <f>RTD("rtdtrading.rtdserver",, "VALE3_B_0", "VOV")</f>
        <v>800</v>
      </c>
      <c r="BH12">
        <f>RTD("rtdtrading.rtdserver",, "VALE3_B_0", "AJU")</f>
        <v>0</v>
      </c>
      <c r="BI12">
        <f>RTD("rtdtrading.rtdserver",, "VALE3_B_0", "AJA")</f>
        <v>0</v>
      </c>
      <c r="BJ12">
        <f>RTD("rtdtrading.rtdserver",, "VALE3_B_0", "PRT")</f>
        <v>0</v>
      </c>
      <c r="BK12">
        <f>RTD("rtdtrading.rtdserver",, "VALE3_B_0", "QTE")</f>
        <v>0</v>
      </c>
      <c r="BL12">
        <f>RTD("rtdtrading.rtdserver",, "VALE3_B_0", "VPJ")</f>
        <v>1154251338</v>
      </c>
      <c r="BM12">
        <f>RTD("rtdtrading.rtdserver",, "VALE3_B_0", "SEM")</f>
        <v>1.4948190929165879</v>
      </c>
      <c r="BN12">
        <f>RTD("rtdtrading.rtdserver",, "VALE3_B_0", "MES")</f>
        <v>3.7686696769711605</v>
      </c>
      <c r="BO12">
        <f>RTD("rtdtrading.rtdserver",, "VALE3_B_0", "3M")</f>
        <v>11.132190578222181</v>
      </c>
      <c r="BP12">
        <f>RTD("rtdtrading.rtdserver",, "VALE3_B_0", "6M")</f>
        <v>14.652932620534282</v>
      </c>
      <c r="BQ12">
        <f>RTD("rtdtrading.rtdserver",, "VALE3_B_0", "12M")</f>
        <v>3.6669471602196433</v>
      </c>
      <c r="BR12">
        <f>RTD("rtdtrading.rtdserver",, "VALE3_B_0", "ANO")</f>
        <v>17.1842057264342</v>
      </c>
      <c r="BS12">
        <f>RTD("rtdtrading.rtdserver",, "VALE3_B_0", "TRIM")</f>
        <v>3.7686696769711605</v>
      </c>
      <c r="BT12">
        <f>RTD("rtdtrading.rtdserver",, "VALE3_B_0", "SEMES")</f>
        <v>16.852359244243921</v>
      </c>
      <c r="BU12" t="str">
        <f>RTD("rtdtrading.rtdserver",, "VALE3_B_0", "VEN")</f>
        <v>-</v>
      </c>
      <c r="BV12" t="str">
        <f>RTD("rtdtrading.rtdserver",, "VALE3_B_0", "VAL")</f>
        <v>31/12/9999</v>
      </c>
      <c r="BW12">
        <f>RTD("rtdtrading.rtdserver",, "VALE3_B_0", "CAB")</f>
        <v>0</v>
      </c>
      <c r="BX12" t="str">
        <f>RTD("rtdtrading.rtdserver",, "VALE3_B_0", "EST")</f>
        <v>Pré-Fechamento</v>
      </c>
      <c r="BY12" t="str">
        <f>RTD("rtdtrading.rtdserver",, "VALE3_B_0", "BLACK")</f>
        <v>-</v>
      </c>
      <c r="BZ12" t="str">
        <f>RTD("rtdtrading.rtdserver",, "VALE3_B_0", "IMPVT")</f>
        <v>-</v>
      </c>
      <c r="CA12" t="str">
        <f>RTD("rtdtrading.rtdserver",, "VALE3_B_0", "DELTA")</f>
        <v>-</v>
      </c>
      <c r="CB12" t="str">
        <f>RTD("rtdtrading.rtdserver",, "VALE3_B_0", "GAMA")</f>
        <v>-</v>
      </c>
      <c r="CC12" t="str">
        <f>RTD("rtdtrading.rtdserver",, "VALE3_B_0", "THETA")</f>
        <v>-</v>
      </c>
      <c r="CD12" t="str">
        <f>RTD("rtdtrading.rtdserver",, "VALE3_B_0", "RHO")</f>
        <v>-</v>
      </c>
      <c r="CE12" t="str">
        <f>RTD("rtdtrading.rtdserver",, "VALE3_B_0", "VEGA")</f>
        <v>-</v>
      </c>
      <c r="CF12" t="str">
        <f>RTD("rtdtrading.rtdserver",, "VALE3_B_0", "VIA")</f>
        <v>-</v>
      </c>
      <c r="CG12" t="str">
        <f>RTD("rtdtrading.rtdserver",, "VALE3_B_0", "VIB")</f>
        <v>-</v>
      </c>
      <c r="CH12" t="str">
        <f>RTD("rtdtrading.rtdserver",, "VALE3_B_0", "DOBRAR")</f>
        <v>-</v>
      </c>
      <c r="CI12" t="str">
        <f>RTD("rtdtrading.rtdserver",, "VALE3_B_0", "VIVH")</f>
        <v>-</v>
      </c>
      <c r="CJ12" t="str">
        <f>RTD("rtdtrading.rtdserver",, "VALE3_B_0", "VINT")</f>
        <v>-</v>
      </c>
      <c r="CK12" t="str">
        <f>RTD("rtdtrading.rtdserver",, "VALE3_B_0", "VEXT")</f>
        <v>-</v>
      </c>
    </row>
    <row r="13" spans="1:89" x14ac:dyDescent="0.25">
      <c r="B13" t="s">
        <v>161</v>
      </c>
      <c r="C13" t="s">
        <v>162</v>
      </c>
      <c r="D13" t="s">
        <v>163</v>
      </c>
      <c r="E13" s="76">
        <v>1467570789</v>
      </c>
      <c r="F13">
        <v>1.0069999999999999</v>
      </c>
      <c r="J13" s="3">
        <f>RTD("rtdtrading.rtdserver",, $B13&amp;"_B_0", J$4)</f>
        <v>14.450000000000001</v>
      </c>
      <c r="K13" s="3">
        <f>RTD("rtdtrading.rtdserver",, $B13&amp;"_B_0", K$4)</f>
        <v>14.600000000000001</v>
      </c>
      <c r="L13" s="3">
        <f>RTD("rtdtrading.rtdserver",, $B13&amp;"_B_0", L$4)</f>
        <v>0</v>
      </c>
      <c r="M13" s="3">
        <f t="shared" si="3"/>
        <v>14.600000000000001</v>
      </c>
      <c r="O13" s="33">
        <f t="shared" si="4"/>
        <v>1426.6615576285503</v>
      </c>
      <c r="P13" s="10">
        <f t="shared" si="0"/>
        <v>1.0380622837370179E-2</v>
      </c>
      <c r="Q13">
        <v>7.9999999999999996E-6</v>
      </c>
      <c r="R13" s="17">
        <f t="shared" si="5"/>
        <v>1.0388622837370179E-2</v>
      </c>
      <c r="S13">
        <v>8</v>
      </c>
      <c r="T13" s="10" t="str">
        <f t="shared" si="6"/>
        <v>BBDC4</v>
      </c>
      <c r="U13" s="10">
        <f t="shared" si="1"/>
        <v>1.4193397163120366E-2</v>
      </c>
      <c r="V13" t="str">
        <f t="shared" si="7"/>
        <v/>
      </c>
      <c r="W13" s="10" t="str">
        <f t="shared" si="8"/>
        <v>HAPV3</v>
      </c>
      <c r="X13" s="10">
        <f t="shared" si="9"/>
        <v>-2.3659682464455111E-2</v>
      </c>
      <c r="Y13" s="33">
        <f t="shared" si="10"/>
        <v>1426.6615576285503</v>
      </c>
      <c r="Z13" s="80">
        <f t="shared" si="11"/>
        <v>0</v>
      </c>
      <c r="AA13" s="2"/>
      <c r="AB13" s="34">
        <v>45768</v>
      </c>
      <c r="AC13" s="2"/>
      <c r="AD13" s="2"/>
      <c r="AE13" s="2"/>
      <c r="AF13" s="2"/>
      <c r="AG13" s="2"/>
      <c r="AH13" s="2">
        <f t="shared" ca="1" si="2"/>
        <v>2372.2222222222213</v>
      </c>
      <c r="AI13" s="2">
        <v>10</v>
      </c>
      <c r="AJ13" s="2"/>
      <c r="AM13" t="s">
        <v>164</v>
      </c>
      <c r="AN13" t="str">
        <f>RTD("rtdtrading.rtdserver",, "GGBR4_B_0", "DAT")</f>
        <v>14/10/2025</v>
      </c>
      <c r="AO13" t="str">
        <f>RTD("rtdtrading.rtdserver",, "GGBR4_B_0", "HOR")</f>
        <v>17:07:47</v>
      </c>
      <c r="AP13">
        <f>RTD("rtdtrading.rtdserver",, "GGBR4_B_0", "ULT")</f>
        <v>17.71</v>
      </c>
      <c r="AQ13">
        <f>RTD("rtdtrading.rtdserver",, "GGBR4_B_0", "ABE")</f>
        <v>17.61</v>
      </c>
      <c r="AR13">
        <f>RTD("rtdtrading.rtdserver",, "GGBR4_B_0", "MAX")</f>
        <v>17.78</v>
      </c>
      <c r="AS13">
        <f>RTD("rtdtrading.rtdserver",, "GGBR4_B_0", "MIN")</f>
        <v>17.54</v>
      </c>
      <c r="AT13">
        <f>RTD("rtdtrading.rtdserver",, "GGBR4_B_0", "FEC")</f>
        <v>17.720000000000002</v>
      </c>
      <c r="AU13">
        <f>RTD("rtdtrading.rtdserver",, "GGBR4_B_0", "PEX")</f>
        <v>0</v>
      </c>
      <c r="AV13">
        <f>RTD("rtdtrading.rtdserver",, "GGBR4_B_0", "VAR")</f>
        <v>-5.6433408577886916E-2</v>
      </c>
      <c r="AW13">
        <f>RTD("rtdtrading.rtdserver",, "GGBR4_B_0", "VARPTS")</f>
        <v>-1.0000000000001563E-2</v>
      </c>
      <c r="AX13">
        <f>RTD("rtdtrading.rtdserver",, "GGBR4_B_0", "MED")</f>
        <v>17.696199109446443</v>
      </c>
      <c r="AY13" t="s">
        <v>165</v>
      </c>
      <c r="AZ13">
        <f>RTD("rtdtrading.rtdserver",, "GGBR4_B_0", "NEG")</f>
        <v>21106</v>
      </c>
      <c r="BA13">
        <f>RTD("rtdtrading.rtdserver",, "GGBR4_B_0", "QUL")</f>
        <v>0</v>
      </c>
      <c r="BB13">
        <f>RTD("rtdtrading.rtdserver",, "GGBR4_B_0", "QTT")</f>
        <v>10038700</v>
      </c>
      <c r="BC13">
        <f>RTD("rtdtrading.rtdserver",, "GGBR4_B_0", "VOL")</f>
        <v>177646834</v>
      </c>
      <c r="BD13">
        <f>RTD("rtdtrading.rtdserver",, "GGBR4_B_0", "OCP")</f>
        <v>17.650000000000002</v>
      </c>
      <c r="BE13">
        <f>RTD("rtdtrading.rtdserver",, "GGBR4_B_0", "OVD")</f>
        <v>17.760000000000002</v>
      </c>
      <c r="BF13">
        <f>RTD("rtdtrading.rtdserver",, "GGBR4_B_0", "VOC")</f>
        <v>5600</v>
      </c>
      <c r="BG13">
        <f>RTD("rtdtrading.rtdserver",, "GGBR4_B_0", "VOV")</f>
        <v>1100</v>
      </c>
      <c r="BH13">
        <f>RTD("rtdtrading.rtdserver",, "GGBR4_B_0", "AJU")</f>
        <v>0</v>
      </c>
      <c r="BI13">
        <f>RTD("rtdtrading.rtdserver",, "GGBR4_B_0", "AJA")</f>
        <v>0</v>
      </c>
      <c r="BJ13">
        <f>RTD("rtdtrading.rtdserver",, "GGBR4_B_0", "PRT")</f>
        <v>0</v>
      </c>
      <c r="BK13">
        <f>RTD("rtdtrading.rtdserver",, "GGBR4_B_0", "QTE")</f>
        <v>0</v>
      </c>
      <c r="BL13">
        <f>RTD("rtdtrading.rtdserver",, "GGBR4_B_0", "VPJ")</f>
        <v>177646834</v>
      </c>
      <c r="BM13">
        <f>RTD("rtdtrading.rtdserver",, "GGBR4_B_0", "SEM")</f>
        <v>2.0749279538904863</v>
      </c>
      <c r="BN13">
        <f>RTD("rtdtrading.rtdserver",, "GGBR4_B_0", "MES")</f>
        <v>6.6225165562913997</v>
      </c>
      <c r="BO13">
        <f>RTD("rtdtrading.rtdserver",, "GGBR4_B_0", "3M")</f>
        <v>7.152797105482894</v>
      </c>
      <c r="BP13">
        <f>RTD("rtdtrading.rtdserver",, "GGBR4_B_0", "6M")</f>
        <v>22.519007395416089</v>
      </c>
      <c r="BQ13">
        <f>RTD("rtdtrading.rtdserver",, "GGBR4_B_0", "12M")</f>
        <v>-0.32362459546926126</v>
      </c>
      <c r="BR13">
        <f>RTD("rtdtrading.rtdserver",, "GGBR4_B_0", "ANO")</f>
        <v>-0.2534497324697364</v>
      </c>
      <c r="BS13">
        <f>RTD("rtdtrading.rtdserver",, "GGBR4_B_0", "TRIM")</f>
        <v>6.6225165562913997</v>
      </c>
      <c r="BT13">
        <f>RTD("rtdtrading.rtdserver",, "GGBR4_B_0", "SEMES")</f>
        <v>11.50567287471825</v>
      </c>
      <c r="BU13" t="str">
        <f>RTD("rtdtrading.rtdserver",, "GGBR4_B_0", "VEN")</f>
        <v>-</v>
      </c>
      <c r="BV13" t="str">
        <f>RTD("rtdtrading.rtdserver",, "GGBR4_B_0", "VAL")</f>
        <v>31/12/9999</v>
      </c>
      <c r="BW13">
        <f>RTD("rtdtrading.rtdserver",, "GGBR4_B_0", "CAB")</f>
        <v>0</v>
      </c>
      <c r="BX13" t="str">
        <f>RTD("rtdtrading.rtdserver",, "GGBR4_B_0", "EST")</f>
        <v>Pré-Fechamento</v>
      </c>
      <c r="BY13" t="str">
        <f>RTD("rtdtrading.rtdserver",, "GGBR4_B_0", "BLACK")</f>
        <v>-</v>
      </c>
      <c r="BZ13" t="str">
        <f>RTD("rtdtrading.rtdserver",, "GGBR4_B_0", "IMPVT")</f>
        <v>-</v>
      </c>
      <c r="CA13" t="str">
        <f>RTD("rtdtrading.rtdserver",, "GGBR4_B_0", "DELTA")</f>
        <v>-</v>
      </c>
      <c r="CB13" t="str">
        <f>RTD("rtdtrading.rtdserver",, "GGBR4_B_0", "GAMA")</f>
        <v>-</v>
      </c>
      <c r="CC13" t="str">
        <f>RTD("rtdtrading.rtdserver",, "GGBR4_B_0", "THETA")</f>
        <v>-</v>
      </c>
      <c r="CD13" t="str">
        <f>RTD("rtdtrading.rtdserver",, "GGBR4_B_0", "RHO")</f>
        <v>-</v>
      </c>
      <c r="CE13" t="str">
        <f>RTD("rtdtrading.rtdserver",, "GGBR4_B_0", "VEGA")</f>
        <v>-</v>
      </c>
      <c r="CF13" t="str">
        <f>RTD("rtdtrading.rtdserver",, "GGBR4_B_0", "VIA")</f>
        <v>-</v>
      </c>
      <c r="CG13" t="str">
        <f>RTD("rtdtrading.rtdserver",, "GGBR4_B_0", "VIB")</f>
        <v>-</v>
      </c>
      <c r="CH13" t="str">
        <f>RTD("rtdtrading.rtdserver",, "GGBR4_B_0", "DOBRAR")</f>
        <v>-</v>
      </c>
      <c r="CI13" t="str">
        <f>RTD("rtdtrading.rtdserver",, "GGBR4_B_0", "VIVH")</f>
        <v>-</v>
      </c>
      <c r="CJ13" t="str">
        <f>RTD("rtdtrading.rtdserver",, "GGBR4_B_0", "VINT")</f>
        <v>-</v>
      </c>
      <c r="CK13" t="str">
        <f>RTD("rtdtrading.rtdserver",, "GGBR4_B_0", "VEXT")</f>
        <v>-</v>
      </c>
    </row>
    <row r="14" spans="1:89" x14ac:dyDescent="0.25">
      <c r="B14" t="s">
        <v>166</v>
      </c>
      <c r="C14" t="s">
        <v>162</v>
      </c>
      <c r="D14" t="s">
        <v>167</v>
      </c>
      <c r="E14" s="76">
        <v>5106488516</v>
      </c>
      <c r="F14">
        <v>4.1180000000000003</v>
      </c>
      <c r="J14" s="3">
        <f>RTD("rtdtrading.rtdserver",, $B14&amp;"_B_0", J$4)</f>
        <v>16.920000000000002</v>
      </c>
      <c r="K14" s="3">
        <f>RTD("rtdtrading.rtdserver",, $B14&amp;"_B_0", K$4)</f>
        <v>17.16</v>
      </c>
      <c r="L14" s="3">
        <f>RTD("rtdtrading.rtdserver",, $B14&amp;"_B_0", L$4)</f>
        <v>0</v>
      </c>
      <c r="M14" s="3">
        <f t="shared" si="3"/>
        <v>17.16</v>
      </c>
      <c r="O14" s="33">
        <f t="shared" si="4"/>
        <v>5834.5677544470682</v>
      </c>
      <c r="P14" s="10">
        <f t="shared" si="0"/>
        <v>1.4184397163120366E-2</v>
      </c>
      <c r="Q14">
        <v>9.0000000000000002E-6</v>
      </c>
      <c r="R14" s="17">
        <f t="shared" si="5"/>
        <v>1.4193397163120366E-2</v>
      </c>
      <c r="S14">
        <v>9</v>
      </c>
      <c r="T14" s="10" t="str">
        <f t="shared" si="6"/>
        <v>CEAB3</v>
      </c>
      <c r="U14" s="10">
        <f t="shared" si="1"/>
        <v>1.4182130070830674E-2</v>
      </c>
      <c r="V14" t="str">
        <f t="shared" si="7"/>
        <v/>
      </c>
      <c r="W14" s="10" t="str">
        <f t="shared" si="8"/>
        <v>BPAC11</v>
      </c>
      <c r="X14" s="10">
        <f t="shared" si="9"/>
        <v>-1.9220834073134532E-2</v>
      </c>
      <c r="Y14" s="33">
        <f t="shared" si="10"/>
        <v>5834.5677544470682</v>
      </c>
      <c r="Z14" s="80">
        <f t="shared" si="11"/>
        <v>0</v>
      </c>
      <c r="AA14" s="2"/>
      <c r="AB14" s="34">
        <v>45778</v>
      </c>
      <c r="AC14" s="2"/>
      <c r="AD14" s="2"/>
      <c r="AE14" s="2"/>
      <c r="AF14" s="2"/>
      <c r="AG14" s="2"/>
      <c r="AH14" s="2">
        <f t="shared" ca="1" si="2"/>
        <v>2304.4444444444434</v>
      </c>
      <c r="AI14" s="2">
        <v>11</v>
      </c>
      <c r="AJ14" s="2"/>
      <c r="AM14" t="s">
        <v>168</v>
      </c>
      <c r="AN14" t="str">
        <f>RTD("rtdtrading.rtdserver",, "BBAS3_B_0", "DAT")</f>
        <v>14/10/2025</v>
      </c>
      <c r="AO14" t="str">
        <f>RTD("rtdtrading.rtdserver",, "BBAS3_B_0", "HOR")</f>
        <v>17:58:32</v>
      </c>
      <c r="AP14">
        <f>RTD("rtdtrading.rtdserver",, "BBAS3_B_0", "ULT")</f>
        <v>20.7</v>
      </c>
      <c r="AQ14">
        <f>RTD("rtdtrading.rtdserver",, "BBAS3_B_0", "ABE")</f>
        <v>20.8</v>
      </c>
      <c r="AR14">
        <f>RTD("rtdtrading.rtdserver",, "BBAS3_B_0", "MAX")</f>
        <v>21.16</v>
      </c>
      <c r="AS14">
        <f>RTD("rtdtrading.rtdserver",, "BBAS3_B_0", "MIN")</f>
        <v>20.67</v>
      </c>
      <c r="AT14">
        <f>RTD("rtdtrading.rtdserver",, "BBAS3_B_0", "FEC")</f>
        <v>20.880000000000003</v>
      </c>
      <c r="AU14">
        <f>RTD("rtdtrading.rtdserver",, "BBAS3_B_0", "PEX")</f>
        <v>0</v>
      </c>
      <c r="AV14">
        <f>RTD("rtdtrading.rtdserver",, "BBAS3_B_0", "VAR")</f>
        <v>-0.86206896551725698</v>
      </c>
      <c r="AW14">
        <f>RTD("rtdtrading.rtdserver",, "BBAS3_B_0", "VARPTS")</f>
        <v>-0.18000000000000327</v>
      </c>
      <c r="AX14">
        <f>RTD("rtdtrading.rtdserver",, "BBAS3_B_0", "MED")</f>
        <v>20.840839938840382</v>
      </c>
      <c r="AY14" t="s">
        <v>169</v>
      </c>
      <c r="AZ14">
        <f>RTD("rtdtrading.rtdserver",, "BBAS3_B_0", "NEG")</f>
        <v>30014</v>
      </c>
      <c r="BA14">
        <f>RTD("rtdtrading.rtdserver",, "BBAS3_B_0", "QUL")</f>
        <v>0</v>
      </c>
      <c r="BB14">
        <f>RTD("rtdtrading.rtdserver",, "BBAS3_B_0", "QTT")</f>
        <v>19882400</v>
      </c>
      <c r="BC14">
        <f>RTD("rtdtrading.rtdserver",, "BBAS3_B_0", "VOL")</f>
        <v>414365916</v>
      </c>
      <c r="BD14">
        <f>RTD("rtdtrading.rtdserver",, "BBAS3_B_0", "OCP")</f>
        <v>20.7</v>
      </c>
      <c r="BE14">
        <f>RTD("rtdtrading.rtdserver",, "BBAS3_B_0", "OVD")</f>
        <v>20.85</v>
      </c>
      <c r="BF14">
        <f>RTD("rtdtrading.rtdserver",, "BBAS3_B_0", "VOC")</f>
        <v>300</v>
      </c>
      <c r="BG14">
        <f>RTD("rtdtrading.rtdserver",, "BBAS3_B_0", "VOV")</f>
        <v>100</v>
      </c>
      <c r="BH14">
        <f>RTD("rtdtrading.rtdserver",, "BBAS3_B_0", "AJU")</f>
        <v>0</v>
      </c>
      <c r="BI14">
        <f>RTD("rtdtrading.rtdserver",, "BBAS3_B_0", "AJA")</f>
        <v>0</v>
      </c>
      <c r="BJ14">
        <f>RTD("rtdtrading.rtdserver",, "BBAS3_B_0", "PRT")</f>
        <v>0</v>
      </c>
      <c r="BK14">
        <f>RTD("rtdtrading.rtdserver",, "BBAS3_B_0", "QTE")</f>
        <v>0</v>
      </c>
      <c r="BL14">
        <f>RTD("rtdtrading.rtdserver",, "BBAS3_B_0", "VPJ")</f>
        <v>414365916</v>
      </c>
      <c r="BM14">
        <f>RTD("rtdtrading.rtdserver",, "BBAS3_B_0", "SEM")</f>
        <v>0.43668122270742288</v>
      </c>
      <c r="BN14">
        <f>RTD("rtdtrading.rtdserver",, "BBAS3_B_0", "MES")</f>
        <v>-6.2924400181077438</v>
      </c>
      <c r="BO14">
        <f>RTD("rtdtrading.rtdserver",, "BBAS3_B_0", "3M")</f>
        <v>9.6711798839456353E-2</v>
      </c>
      <c r="BP14">
        <f>RTD("rtdtrading.rtdserver",, "BBAS3_B_0", "6M")</f>
        <v>-24.366708197991152</v>
      </c>
      <c r="BQ14">
        <f>RTD("rtdtrading.rtdserver",, "BBAS3_B_0", "12M")</f>
        <v>-16.677065261581689</v>
      </c>
      <c r="BR14">
        <f>RTD("rtdtrading.rtdserver",, "BBAS3_B_0", "ANO")</f>
        <v>-11.207196077674402</v>
      </c>
      <c r="BS14">
        <f>RTD("rtdtrading.rtdserver",, "BBAS3_B_0", "TRIM")</f>
        <v>-6.2924400181077438</v>
      </c>
      <c r="BT14">
        <f>RTD("rtdtrading.rtdserver",, "BBAS3_B_0", "SEMES")</f>
        <v>-6.2924400181077438</v>
      </c>
      <c r="BU14" t="str">
        <f>RTD("rtdtrading.rtdserver",, "BBAS3_B_0", "VEN")</f>
        <v>-</v>
      </c>
      <c r="BV14" t="str">
        <f>RTD("rtdtrading.rtdserver",, "BBAS3_B_0", "VAL")</f>
        <v>31/12/9999</v>
      </c>
      <c r="BW14">
        <f>RTD("rtdtrading.rtdserver",, "BBAS3_B_0", "CAB")</f>
        <v>0</v>
      </c>
      <c r="BX14" t="str">
        <f>RTD("rtdtrading.rtdserver",, "BBAS3_B_0", "EST")</f>
        <v>Pré-Fechamento</v>
      </c>
      <c r="BY14" t="str">
        <f>RTD("rtdtrading.rtdserver",, "BBAS3_B_0", "BLACK")</f>
        <v>-</v>
      </c>
      <c r="BZ14" t="str">
        <f>RTD("rtdtrading.rtdserver",, "BBAS3_B_0", "IMPVT")</f>
        <v>-</v>
      </c>
      <c r="CA14" t="str">
        <f>RTD("rtdtrading.rtdserver",, "BBAS3_B_0", "DELTA")</f>
        <v>-</v>
      </c>
      <c r="CB14" t="str">
        <f>RTD("rtdtrading.rtdserver",, "BBAS3_B_0", "GAMA")</f>
        <v>-</v>
      </c>
      <c r="CC14" t="str">
        <f>RTD("rtdtrading.rtdserver",, "BBAS3_B_0", "THETA")</f>
        <v>-</v>
      </c>
      <c r="CD14" t="str">
        <f>RTD("rtdtrading.rtdserver",, "BBAS3_B_0", "RHO")</f>
        <v>-</v>
      </c>
      <c r="CE14" t="str">
        <f>RTD("rtdtrading.rtdserver",, "BBAS3_B_0", "VEGA")</f>
        <v>-</v>
      </c>
      <c r="CF14" t="str">
        <f>RTD("rtdtrading.rtdserver",, "BBAS3_B_0", "VIA")</f>
        <v>-</v>
      </c>
      <c r="CG14" t="str">
        <f>RTD("rtdtrading.rtdserver",, "BBAS3_B_0", "VIB")</f>
        <v>-</v>
      </c>
      <c r="CH14" t="str">
        <f>RTD("rtdtrading.rtdserver",, "BBAS3_B_0", "DOBRAR")</f>
        <v>-</v>
      </c>
      <c r="CI14" t="str">
        <f>RTD("rtdtrading.rtdserver",, "BBAS3_B_0", "VIVH")</f>
        <v>-</v>
      </c>
      <c r="CJ14" t="str">
        <f>RTD("rtdtrading.rtdserver",, "BBAS3_B_0", "VINT")</f>
        <v>-</v>
      </c>
      <c r="CK14" t="str">
        <f>RTD("rtdtrading.rtdserver",, "BBAS3_B_0", "VEXT")</f>
        <v>-</v>
      </c>
    </row>
    <row r="15" spans="1:89" x14ac:dyDescent="0.25">
      <c r="B15" t="s">
        <v>170</v>
      </c>
      <c r="C15" t="s">
        <v>171</v>
      </c>
      <c r="D15" t="s">
        <v>167</v>
      </c>
      <c r="E15" s="76">
        <v>250973136</v>
      </c>
      <c r="F15">
        <v>0.20300000000000001</v>
      </c>
      <c r="J15" s="3">
        <f>RTD("rtdtrading.rtdserver",, $B15&amp;"_B_0", J$4)</f>
        <v>17.310000000000002</v>
      </c>
      <c r="K15" s="3">
        <f>RTD("rtdtrading.rtdserver",, $B15&amp;"_B_0", K$4)</f>
        <v>17.220000000000002</v>
      </c>
      <c r="L15" s="3">
        <f>RTD("rtdtrading.rtdserver",, $B15&amp;"_B_0", L$4)</f>
        <v>0</v>
      </c>
      <c r="M15" s="3">
        <f t="shared" si="3"/>
        <v>17.220000000000002</v>
      </c>
      <c r="O15" s="33">
        <f t="shared" si="4"/>
        <v>287.75934012533446</v>
      </c>
      <c r="P15" s="10">
        <f t="shared" si="0"/>
        <v>-5.199306759098743E-3</v>
      </c>
      <c r="Q15">
        <v>1.0000000000000001E-5</v>
      </c>
      <c r="R15" s="17">
        <f t="shared" si="5"/>
        <v>-5.1893067590987434E-3</v>
      </c>
      <c r="S15">
        <v>10</v>
      </c>
      <c r="T15" s="10" t="str">
        <f t="shared" si="6"/>
        <v>AZZA3</v>
      </c>
      <c r="U15" s="10">
        <f t="shared" si="1"/>
        <v>1.3792510137875047E-2</v>
      </c>
      <c r="V15" t="str">
        <f t="shared" si="7"/>
        <v/>
      </c>
      <c r="W15" s="10" t="str">
        <f t="shared" si="8"/>
        <v>PCAR3</v>
      </c>
      <c r="X15" s="10">
        <f t="shared" si="9"/>
        <v>-1.8174166666666741E-2</v>
      </c>
      <c r="Y15" s="33">
        <f t="shared" si="10"/>
        <v>287.75934012533446</v>
      </c>
      <c r="Z15" s="80">
        <f t="shared" si="11"/>
        <v>0</v>
      </c>
      <c r="AA15" s="2"/>
      <c r="AB15" s="34">
        <v>45827</v>
      </c>
      <c r="AC15" s="2"/>
      <c r="AD15" s="2"/>
      <c r="AE15" s="2"/>
      <c r="AF15" s="2"/>
      <c r="AG15" s="2"/>
      <c r="AH15" s="2">
        <f t="shared" ca="1" si="2"/>
        <v>2236.6666666666656</v>
      </c>
      <c r="AI15" s="2">
        <v>12</v>
      </c>
      <c r="AJ15" s="2"/>
      <c r="AM15" t="s">
        <v>172</v>
      </c>
      <c r="AN15" t="str">
        <f>RTD("rtdtrading.rtdserver",, "DOLFUT_F_0", "DAT")</f>
        <v>15/10/2025</v>
      </c>
      <c r="AO15" t="str">
        <f>RTD("rtdtrading.rtdserver",, "DOLFUT_F_0", "HOR")</f>
        <v>09:23:25</v>
      </c>
      <c r="AP15">
        <f>RTD("rtdtrading.rtdserver",, "DOLFUT_F_0", "ULT")</f>
        <v>5489.5</v>
      </c>
      <c r="AQ15">
        <f>RTD("rtdtrading.rtdserver",, "DOLFUT_F_0", "ABE")</f>
        <v>5484</v>
      </c>
      <c r="AR15">
        <f>RTD("rtdtrading.rtdserver",, "DOLFUT_F_0", "MAX")</f>
        <v>5493</v>
      </c>
      <c r="AS15">
        <f>RTD("rtdtrading.rtdserver",, "DOLFUT_F_0", "MIN")</f>
        <v>5479</v>
      </c>
      <c r="AT15">
        <f>RTD("rtdtrading.rtdserver",, "DOLFUT_F_0", "FEC")</f>
        <v>5497.5</v>
      </c>
      <c r="AU15">
        <f>RTD("rtdtrading.rtdserver",, "DOLFUT_F_0", "PEX")</f>
        <v>0</v>
      </c>
      <c r="AV15">
        <f>RTD("rtdtrading.rtdserver",, "DOLFUT_F_0", "VAR")</f>
        <v>-0.14552069122328329</v>
      </c>
      <c r="AW15">
        <f>RTD("rtdtrading.rtdserver",, "DOLFUT_F_0", "VARPTS")</f>
        <v>-8</v>
      </c>
      <c r="AX15">
        <f>RTD("rtdtrading.rtdserver",, "DOLFUT_F_0", "MED")</f>
        <v>5486.2828083989498</v>
      </c>
      <c r="AY15" t="s">
        <v>173</v>
      </c>
      <c r="AZ15">
        <f>RTD("rtdtrading.rtdserver",, "DOLFUT_F_0", "NEG")</f>
        <v>1343</v>
      </c>
      <c r="BA15">
        <f>RTD("rtdtrading.rtdserver",, "DOLFUT_F_0", "QUL")</f>
        <v>5</v>
      </c>
      <c r="BB15">
        <f>RTD("rtdtrading.rtdserver",, "DOLFUT_F_0", "QTT")</f>
        <v>11430</v>
      </c>
      <c r="BC15">
        <f>RTD("rtdtrading.rtdserver",, "DOLFUT_F_0", "VOL")</f>
        <v>3135410625</v>
      </c>
      <c r="BD15">
        <f>RTD("rtdtrading.rtdserver",, "DOLFUT_F_0", "OCP")</f>
        <v>5489</v>
      </c>
      <c r="BE15">
        <f>RTD("rtdtrading.rtdserver",, "DOLFUT_F_0", "OVD")</f>
        <v>5490</v>
      </c>
      <c r="BF15">
        <f>RTD("rtdtrading.rtdserver",, "DOLFUT_F_0", "VOC")</f>
        <v>30</v>
      </c>
      <c r="BG15">
        <f>RTD("rtdtrading.rtdserver",, "DOLFUT_F_0", "VOV")</f>
        <v>55</v>
      </c>
      <c r="BH15">
        <f>RTD("rtdtrading.rtdserver",, "DOLFUT_F_0", "AJU")</f>
        <v>0</v>
      </c>
      <c r="BI15">
        <f>RTD("rtdtrading.rtdserver",, "DOLFUT_F_0", "AJA")</f>
        <v>5489.0649999999996</v>
      </c>
      <c r="BJ15">
        <f>RTD("rtdtrading.rtdserver",, "DOLFUT_F_0", "PRT")</f>
        <v>0</v>
      </c>
      <c r="BK15">
        <f>RTD("rtdtrading.rtdserver",, "DOLFUT_F_0", "QTE")</f>
        <v>0</v>
      </c>
      <c r="BL15">
        <f>RTD("rtdtrading.rtdserver",, "DOLFUT_F_0", "VPJ")</f>
        <v>86440632114.853104</v>
      </c>
      <c r="BM15">
        <f>RTD("rtdtrading.rtdserver",, "DOLFUT_F_0", "SEM")</f>
        <v>-1.2502248605864363</v>
      </c>
      <c r="BN15">
        <f>RTD("rtdtrading.rtdserver",, "DOLFUT_F_0", "MES")</f>
        <v>2.4255994029293779</v>
      </c>
      <c r="BO15">
        <f>RTD("rtdtrading.rtdserver",, "DOLFUT_F_0", "3M")</f>
        <v>-3.725892830715499</v>
      </c>
      <c r="BP15">
        <f>RTD("rtdtrading.rtdserver",, "DOLFUT_F_0", "6M")</f>
        <v>-10.594876512648334</v>
      </c>
      <c r="BQ15">
        <f>RTD("rtdtrading.rtdserver",, "DOLFUT_F_0", "12M")</f>
        <v>-9.2975802872927567</v>
      </c>
      <c r="BR15">
        <f>RTD("rtdtrading.rtdserver",, "DOLFUT_F_0", "ANO")</f>
        <v>-16.787183013643297</v>
      </c>
      <c r="BS15">
        <f>RTD("rtdtrading.rtdserver",, "DOLFUT_F_0", "TRIM")</f>
        <v>2.4255994029293779</v>
      </c>
      <c r="BT15">
        <f>RTD("rtdtrading.rtdserver",, "DOLFUT_F_0", "SEMES")</f>
        <v>-1.9759341034569677</v>
      </c>
      <c r="BU15" t="str">
        <f>RTD("rtdtrading.rtdserver",, "DOLFUT_F_0", "VEN")</f>
        <v>03/11/2025</v>
      </c>
      <c r="BV15" t="str">
        <f>RTD("rtdtrading.rtdserver",, "DOLFUT_F_0", "VAL")</f>
        <v>31/10/2025</v>
      </c>
      <c r="BW15">
        <f>RTD("rtdtrading.rtdserver",, "DOLFUT_F_0", "CAB")</f>
        <v>826950</v>
      </c>
      <c r="BX15" t="str">
        <f>RTD("rtdtrading.rtdserver",, "DOLFUT_F_0", "EST")</f>
        <v>Aberto</v>
      </c>
      <c r="BY15" t="str">
        <f>RTD("rtdtrading.rtdserver",, "DOLFUT_F_0", "BLACK")</f>
        <v>-</v>
      </c>
      <c r="BZ15" t="str">
        <f>RTD("rtdtrading.rtdserver",, "DOLFUT_F_0", "IMPVT")</f>
        <v>-</v>
      </c>
      <c r="CA15" t="str">
        <f>RTD("rtdtrading.rtdserver",, "DOLFUT_F_0", "DELTA")</f>
        <v>-</v>
      </c>
      <c r="CB15" t="str">
        <f>RTD("rtdtrading.rtdserver",, "DOLFUT_F_0", "GAMA")</f>
        <v>-</v>
      </c>
      <c r="CC15" t="str">
        <f>RTD("rtdtrading.rtdserver",, "DOLFUT_F_0", "THETA")</f>
        <v>-</v>
      </c>
      <c r="CD15" t="str">
        <f>RTD("rtdtrading.rtdserver",, "DOLFUT_F_0", "RHO")</f>
        <v>-</v>
      </c>
      <c r="CE15" t="str">
        <f>RTD("rtdtrading.rtdserver",, "DOLFUT_F_0", "VEGA")</f>
        <v>-</v>
      </c>
      <c r="CF15" t="str">
        <f>RTD("rtdtrading.rtdserver",, "DOLFUT_F_0", "VIA")</f>
        <v>-</v>
      </c>
      <c r="CG15" t="str">
        <f>RTD("rtdtrading.rtdserver",, "DOLFUT_F_0", "VIB")</f>
        <v>-</v>
      </c>
      <c r="CH15" t="str">
        <f>RTD("rtdtrading.rtdserver",, "DOLFUT_F_0", "DOBRAR")</f>
        <v>-</v>
      </c>
      <c r="CI15" t="str">
        <f>RTD("rtdtrading.rtdserver",, "DOLFUT_F_0", "VIVH")</f>
        <v>-</v>
      </c>
      <c r="CJ15" t="str">
        <f>RTD("rtdtrading.rtdserver",, "DOLFUT_F_0", "VINT")</f>
        <v>-</v>
      </c>
      <c r="CK15" t="str">
        <f>RTD("rtdtrading.rtdserver",, "DOLFUT_F_0", "VEXT")</f>
        <v>-</v>
      </c>
    </row>
    <row r="16" spans="1:89" x14ac:dyDescent="0.25">
      <c r="B16" t="s">
        <v>168</v>
      </c>
      <c r="C16" t="s">
        <v>174</v>
      </c>
      <c r="D16" t="s">
        <v>142</v>
      </c>
      <c r="E16" s="76">
        <v>2842496541</v>
      </c>
      <c r="F16">
        <v>2.7650000000000001</v>
      </c>
      <c r="J16" s="3">
        <f>RTD("rtdtrading.rtdserver",, $B16&amp;"_B_0", J$4)</f>
        <v>20.880000000000003</v>
      </c>
      <c r="K16" s="3">
        <f>RTD("rtdtrading.rtdserver",, $B16&amp;"_B_0", K$4)</f>
        <v>20.7</v>
      </c>
      <c r="L16" s="3">
        <f>RTD("rtdtrading.rtdserver",, $B16&amp;"_B_0", L$4)</f>
        <v>0</v>
      </c>
      <c r="M16" s="3">
        <f t="shared" si="3"/>
        <v>20.7</v>
      </c>
      <c r="O16" s="33">
        <f t="shared" si="4"/>
        <v>3917.7735940649236</v>
      </c>
      <c r="P16" s="10">
        <f t="shared" si="0"/>
        <v>-8.6206896551725976E-3</v>
      </c>
      <c r="Q16">
        <v>1.1E-5</v>
      </c>
      <c r="R16" s="17">
        <f t="shared" si="5"/>
        <v>-8.609689655172597E-3</v>
      </c>
      <c r="S16">
        <v>11</v>
      </c>
      <c r="T16" s="10" t="str">
        <f t="shared" si="6"/>
        <v>LREN3</v>
      </c>
      <c r="U16" s="10">
        <f t="shared" si="1"/>
        <v>1.2775844413012613E-2</v>
      </c>
      <c r="V16" t="str">
        <f t="shared" si="7"/>
        <v/>
      </c>
      <c r="W16" s="10" t="str">
        <f t="shared" si="8"/>
        <v>UGPA3</v>
      </c>
      <c r="X16" s="10">
        <f t="shared" si="9"/>
        <v>-1.4404215319943894E-2</v>
      </c>
      <c r="Y16" s="33">
        <f t="shared" si="10"/>
        <v>3917.7735940649236</v>
      </c>
      <c r="Z16" s="80">
        <f t="shared" si="11"/>
        <v>0</v>
      </c>
      <c r="AA16" s="2"/>
      <c r="AB16" s="34">
        <v>45981</v>
      </c>
      <c r="AC16" s="2"/>
      <c r="AD16" s="2"/>
      <c r="AE16" s="2"/>
      <c r="AF16" s="2"/>
      <c r="AG16" s="2"/>
      <c r="AH16" s="2">
        <f t="shared" ca="1" si="2"/>
        <v>2168.8888888888878</v>
      </c>
      <c r="AI16" s="2">
        <v>13</v>
      </c>
      <c r="AJ16" s="2"/>
      <c r="AM16" t="s">
        <v>175</v>
      </c>
      <c r="AN16" t="str">
        <f>RTD("rtdtrading.rtdserver",, "DOLPT_E_0", "DAT")</f>
        <v>14/10/2025</v>
      </c>
      <c r="AO16" t="str">
        <f>RTD("rtdtrading.rtdserver",, "DOLPT_E_0", "HOR")</f>
        <v>00:00:00</v>
      </c>
      <c r="AP16">
        <f>RTD("rtdtrading.rtdserver",, "DOLPT_E_0", "ULT")</f>
        <v>5.4976000000000003</v>
      </c>
      <c r="AQ16">
        <f>RTD("rtdtrading.rtdserver",, "DOLPT_E_0", "ABE")</f>
        <v>5.4976000000000003</v>
      </c>
      <c r="AR16">
        <f>RTD("rtdtrading.rtdserver",, "DOLPT_E_0", "MAX")</f>
        <v>5.4976000000000003</v>
      </c>
      <c r="AS16">
        <f>RTD("rtdtrading.rtdserver",, "DOLPT_E_0", "MIN")</f>
        <v>5.4976000000000003</v>
      </c>
      <c r="AT16">
        <f>RTD("rtdtrading.rtdserver",, "DOLPT_E_0", "FEC")</f>
        <v>5.4622999999999999</v>
      </c>
      <c r="AU16">
        <f>RTD("rtdtrading.rtdserver",, "DOLPT_E_0", "PEX")</f>
        <v>0</v>
      </c>
      <c r="AV16">
        <f>RTD("rtdtrading.rtdserver",, "DOLPT_E_0", "VAR")</f>
        <v>0.64624791754389788</v>
      </c>
      <c r="AW16">
        <f>RTD("rtdtrading.rtdserver",, "DOLPT_E_0", "VARPTS")</f>
        <v>3.5300000000000331E-2</v>
      </c>
      <c r="AX16">
        <f>RTD("rtdtrading.rtdserver",, "DOLPT_E_0", "MED")</f>
        <v>5.4976000000000003</v>
      </c>
      <c r="AY16" t="s">
        <v>176</v>
      </c>
      <c r="AZ16">
        <f>RTD("rtdtrading.rtdserver",, "DOLPT_E_0", "NEG")</f>
        <v>0</v>
      </c>
      <c r="BA16">
        <f>RTD("rtdtrading.rtdserver",, "DOLPT_E_0", "QUL")</f>
        <v>0</v>
      </c>
      <c r="BB16">
        <f>RTD("rtdtrading.rtdserver",, "DOLPT_E_0", "QTT")</f>
        <v>0</v>
      </c>
      <c r="BC16">
        <f>RTD("rtdtrading.rtdserver",, "DOLPT_E_0", "VOL")</f>
        <v>0</v>
      </c>
      <c r="BD16">
        <f>RTD("rtdtrading.rtdserver",, "DOLPT_E_0", "OCP")</f>
        <v>0</v>
      </c>
      <c r="BE16">
        <f>RTD("rtdtrading.rtdserver",, "DOLPT_E_0", "OVD")</f>
        <v>0</v>
      </c>
      <c r="BF16">
        <f>RTD("rtdtrading.rtdserver",, "DOLPT_E_0", "VOC")</f>
        <v>0</v>
      </c>
      <c r="BG16">
        <f>RTD("rtdtrading.rtdserver",, "DOLPT_E_0", "VOV")</f>
        <v>0</v>
      </c>
      <c r="BH16">
        <f>RTD("rtdtrading.rtdserver",, "DOLPT_E_0", "AJU")</f>
        <v>0</v>
      </c>
      <c r="BI16">
        <f>RTD("rtdtrading.rtdserver",, "DOLPT_E_0", "AJA")</f>
        <v>0</v>
      </c>
      <c r="BJ16">
        <f>RTD("rtdtrading.rtdserver",, "DOLPT_E_0", "PRT")</f>
        <v>0</v>
      </c>
      <c r="BK16">
        <f>RTD("rtdtrading.rtdserver",, "DOLPT_E_0", "QTE")</f>
        <v>0</v>
      </c>
      <c r="BL16">
        <f>RTD("rtdtrading.rtdserver",, "DOLPT_E_0", "VPJ")</f>
        <v>0</v>
      </c>
      <c r="BM16">
        <f>RTD("rtdtrading.rtdserver",, "DOLPT_E_0", "SEM")</f>
        <v>0.984570168993393</v>
      </c>
      <c r="BN16">
        <f>RTD("rtdtrading.rtdserver",, "DOLPT_E_0", "MES")</f>
        <v>3.377209477247098</v>
      </c>
      <c r="BO16">
        <f>RTD("rtdtrading.rtdserver",, "DOLPT_E_0", "3M")</f>
        <v>-1.1027361528359794</v>
      </c>
      <c r="BP16">
        <f>RTD("rtdtrading.rtdserver",, "DOLPT_E_0", "6M")</f>
        <v>-6.3935570652636553</v>
      </c>
      <c r="BQ16">
        <f>RTD("rtdtrading.rtdserver",, "DOLPT_E_0", "12M")</f>
        <v>-2.2770499671152011</v>
      </c>
      <c r="BR16">
        <f>RTD("rtdtrading.rtdserver",, "DOLPT_E_0", "ANO")</f>
        <v>-11.210168451313852</v>
      </c>
      <c r="BS16">
        <f>RTD("rtdtrading.rtdserver",, "DOLPT_E_0", "TRIM")</f>
        <v>3.377209477247098</v>
      </c>
      <c r="BT16">
        <f>RTD("rtdtrading.rtdserver",, "DOLPT_E_0", "SEMES")</f>
        <v>0.75323009255017204</v>
      </c>
      <c r="BU16" t="str">
        <f>RTD("rtdtrading.rtdserver",, "DOLPT_E_0", "VEN")</f>
        <v>-</v>
      </c>
      <c r="BV16" t="str">
        <f>RTD("rtdtrading.rtdserver",, "DOLPT_E_0", "VAL")</f>
        <v>30/12/1899</v>
      </c>
      <c r="BW16">
        <f>RTD("rtdtrading.rtdserver",, "DOLPT_E_0", "CAB")</f>
        <v>0</v>
      </c>
      <c r="BX16" t="str">
        <f>RTD("rtdtrading.rtdserver",, "DOLPT_E_0", "EST")</f>
        <v>Fechado</v>
      </c>
      <c r="BY16" t="str">
        <f>RTD("rtdtrading.rtdserver",, "DOLPT_E_0", "BLACK")</f>
        <v>-</v>
      </c>
      <c r="BZ16" t="str">
        <f>RTD("rtdtrading.rtdserver",, "DOLPT_E_0", "IMPVT")</f>
        <v>-</v>
      </c>
      <c r="CA16" t="str">
        <f>RTD("rtdtrading.rtdserver",, "DOLPT_E_0", "DELTA")</f>
        <v>-</v>
      </c>
      <c r="CB16" t="str">
        <f>RTD("rtdtrading.rtdserver",, "DOLPT_E_0", "GAMA")</f>
        <v>-</v>
      </c>
      <c r="CC16" t="str">
        <f>RTD("rtdtrading.rtdserver",, "DOLPT_E_0", "THETA")</f>
        <v>-</v>
      </c>
      <c r="CD16" t="str">
        <f>RTD("rtdtrading.rtdserver",, "DOLPT_E_0", "RHO")</f>
        <v>-</v>
      </c>
      <c r="CE16" t="str">
        <f>RTD("rtdtrading.rtdserver",, "DOLPT_E_0", "VEGA")</f>
        <v>-</v>
      </c>
      <c r="CF16" t="str">
        <f>RTD("rtdtrading.rtdserver",, "DOLPT_E_0", "VIA")</f>
        <v>-</v>
      </c>
      <c r="CG16" t="str">
        <f>RTD("rtdtrading.rtdserver",, "DOLPT_E_0", "VIB")</f>
        <v>-</v>
      </c>
      <c r="CH16" t="str">
        <f>RTD("rtdtrading.rtdserver",, "DOLPT_E_0", "DOBRAR")</f>
        <v>-</v>
      </c>
      <c r="CI16" t="str">
        <f>RTD("rtdtrading.rtdserver",, "DOLPT_E_0", "VIVH")</f>
        <v>-</v>
      </c>
      <c r="CJ16" t="str">
        <f>RTD("rtdtrading.rtdserver",, "DOLPT_E_0", "VINT")</f>
        <v>-</v>
      </c>
      <c r="CK16" t="str">
        <f>RTD("rtdtrading.rtdserver",, "DOLPT_E_0", "VEXT")</f>
        <v>-</v>
      </c>
    </row>
    <row r="17" spans="2:89" x14ac:dyDescent="0.25">
      <c r="B17" t="s">
        <v>177</v>
      </c>
      <c r="C17" t="s">
        <v>178</v>
      </c>
      <c r="D17" t="s">
        <v>179</v>
      </c>
      <c r="E17" s="76">
        <v>265876767</v>
      </c>
      <c r="F17">
        <v>8.2000000000000003E-2</v>
      </c>
      <c r="J17" s="3">
        <f>RTD("rtdtrading.rtdserver",, $B17&amp;"_B_0", J$4)</f>
        <v>6.5200000000000005</v>
      </c>
      <c r="K17" s="3">
        <f>RTD("rtdtrading.rtdserver",, $B17&amp;"_B_0", K$4)</f>
        <v>6.6000000000000005</v>
      </c>
      <c r="L17" s="3">
        <f>RTD("rtdtrading.rtdserver",, $B17&amp;"_B_0", L$4)</f>
        <v>0</v>
      </c>
      <c r="M17" s="3">
        <f t="shared" si="3"/>
        <v>6.6000000000000005</v>
      </c>
      <c r="O17" s="33">
        <f t="shared" si="4"/>
        <v>116.84048987827877</v>
      </c>
      <c r="P17" s="10">
        <f t="shared" si="0"/>
        <v>1.2269938650306678E-2</v>
      </c>
      <c r="Q17">
        <v>1.2E-5</v>
      </c>
      <c r="R17" s="17">
        <f t="shared" si="5"/>
        <v>1.2281938650306677E-2</v>
      </c>
      <c r="S17">
        <v>12</v>
      </c>
      <c r="T17" s="10" t="str">
        <f t="shared" si="6"/>
        <v>BRKM5</v>
      </c>
      <c r="U17" s="10">
        <f t="shared" si="1"/>
        <v>1.2281938650306677E-2</v>
      </c>
      <c r="V17" t="str">
        <f t="shared" si="7"/>
        <v/>
      </c>
      <c r="W17" s="10" t="str">
        <f t="shared" si="8"/>
        <v>WEGE3</v>
      </c>
      <c r="X17" s="10">
        <f t="shared" si="9"/>
        <v>-1.3396801268499068E-2</v>
      </c>
      <c r="Y17" s="33">
        <f t="shared" si="10"/>
        <v>116.84048987827877</v>
      </c>
      <c r="Z17" s="80">
        <f t="shared" si="11"/>
        <v>0</v>
      </c>
      <c r="AA17" s="2"/>
      <c r="AB17" s="34">
        <v>46015</v>
      </c>
      <c r="AC17" s="2"/>
      <c r="AD17" s="2"/>
      <c r="AE17" s="2"/>
      <c r="AF17" s="2"/>
      <c r="AG17" s="2"/>
      <c r="AH17" s="2">
        <f t="shared" ca="1" si="2"/>
        <v>2101.1111111111099</v>
      </c>
      <c r="AI17" s="2">
        <v>14</v>
      </c>
      <c r="AJ17" s="2"/>
      <c r="AM17" t="s">
        <v>458</v>
      </c>
      <c r="AN17" t="str">
        <f>RTD("rtdtrading.rtdserver",, "INDFUT_F_0", "DAT")</f>
        <v>15/10/2025</v>
      </c>
      <c r="AO17" t="str">
        <f>RTD("rtdtrading.rtdserver",, "INDFUT_F_0", "HOR")</f>
        <v>09:23:05</v>
      </c>
      <c r="AP17">
        <f>RTD("rtdtrading.rtdserver",, "winfut_F_0", "ULT")</f>
        <v>144710</v>
      </c>
      <c r="AQ17">
        <f>RTD("rtdtrading.rtdserver",, "INDFUT_F_0", "ABE")</f>
        <v>145070</v>
      </c>
      <c r="AR17">
        <f>RTD("rtdtrading.rtdserver",, "INDFUT_F_0", "MAX")</f>
        <v>145385</v>
      </c>
      <c r="AS17">
        <f>RTD("rtdtrading.rtdserver",, "INDFUT_F_0", "MIN")</f>
        <v>144685</v>
      </c>
      <c r="AT17">
        <f>RTD("rtdtrading.rtdserver",, "INDFUT_F_0", "FEC")</f>
        <v>144865</v>
      </c>
      <c r="AU17">
        <f>RTD("rtdtrading.rtdserver",, "INDFUT_F_0", "PEX")</f>
        <v>0</v>
      </c>
      <c r="AV17">
        <f>RTD("rtdtrading.rtdserver",, "INDFUT_F_0", "VAR")</f>
        <v>-8.6287232941014036E-2</v>
      </c>
      <c r="AW17">
        <f>RTD("rtdtrading.rtdserver",, "INDFUT_F_0", "VARPTS")</f>
        <v>-125</v>
      </c>
      <c r="AX17">
        <f>RTD("rtdtrading.rtdserver",, "INDFUT_F_0", "MED")</f>
        <v>145005.91070372562</v>
      </c>
      <c r="AY17" t="s">
        <v>181</v>
      </c>
      <c r="AZ17">
        <f>RTD("rtdtrading.rtdserver",, "INDFUT_F_0", "NEG")</f>
        <v>1556</v>
      </c>
      <c r="BA17">
        <f>RTD("rtdtrading.rtdserver",, "INDFUT_F_0", "QUL")</f>
        <v>5</v>
      </c>
      <c r="BB17">
        <f>RTD("rtdtrading.rtdserver",, "INDFUT_F_0", "QTT")</f>
        <v>8455</v>
      </c>
      <c r="BC17">
        <f>RTD("rtdtrading.rtdserver",, "INDFUT_F_0", "VOL")</f>
        <v>1226024975</v>
      </c>
      <c r="BD17">
        <f>RTD("rtdtrading.rtdserver",, "INDFUT_F_0", "OCP")</f>
        <v>144705</v>
      </c>
      <c r="BE17">
        <f>RTD("rtdtrading.rtdserver",, "INDFUT_F_0", "OVD")</f>
        <v>144720</v>
      </c>
      <c r="BF17">
        <f>RTD("rtdtrading.rtdserver",, "INDFUT_F_0", "VOC")</f>
        <v>10</v>
      </c>
      <c r="BG17">
        <f>RTD("rtdtrading.rtdserver",, "INDFUT_F_0", "VOV")</f>
        <v>5</v>
      </c>
      <c r="BH17">
        <f>RTD("rtdtrading.rtdserver",, "INDFUT_F_0", "AJU")</f>
        <v>0</v>
      </c>
      <c r="BI17">
        <f>RTD("rtdtrading.rtdserver",, "INDFUT_F_0", "AJA")</f>
        <v>141688</v>
      </c>
      <c r="BJ17">
        <f>RTD("rtdtrading.rtdserver",, "INDFUT_F_0", "PRT")</f>
        <v>0</v>
      </c>
      <c r="BK17">
        <f>RTD("rtdtrading.rtdserver",, "INDFUT_F_0", "QTE")</f>
        <v>0</v>
      </c>
      <c r="BL17">
        <f>RTD("rtdtrading.rtdserver",, "INDFUT_F_0", "VPJ")</f>
        <v>32044039400.820034</v>
      </c>
      <c r="BM17">
        <f>RTD("rtdtrading.rtdserver",, "INDFUT_F_0", "SEM")</f>
        <v>0.99566627135498287</v>
      </c>
      <c r="BN17">
        <f>RTD("rtdtrading.rtdserver",, "INDFUT_F_0", "MES")</f>
        <v>-3.6284353509861833</v>
      </c>
      <c r="BO17">
        <f>RTD("rtdtrading.rtdserver",, "INDFUT_F_0", "3M")</f>
        <v>1.1477622472720947</v>
      </c>
      <c r="BP17">
        <f>RTD("rtdtrading.rtdserver",, "INDFUT_F_0", "6M")</f>
        <v>3.1480611528181943</v>
      </c>
      <c r="BQ17">
        <f>RTD("rtdtrading.rtdserver",, "INDFUT_F_0", "12M")</f>
        <v>-2.643746266491255</v>
      </c>
      <c r="BR17">
        <f>RTD("rtdtrading.rtdserver",, "INDFUT_F_0", "ANO")</f>
        <v>7.7349351405768223</v>
      </c>
      <c r="BS17">
        <f>RTD("rtdtrading.rtdserver",, "INDFUT_F_0", "TRIM")</f>
        <v>-3.6284353509861833</v>
      </c>
      <c r="BT17">
        <f>RTD("rtdtrading.rtdserver",, "INDFUT_F_0", "SEMES")</f>
        <v>-1.6766328275053362</v>
      </c>
      <c r="BU17" t="str">
        <f>RTD("rtdtrading.rtdserver",, "INDFUT_F_0", "VEN")</f>
        <v>17/12/2025</v>
      </c>
      <c r="BV17" t="str">
        <f>RTD("rtdtrading.rtdserver",, "INDFUT_F_0", "VAL")</f>
        <v>17/12/2025</v>
      </c>
      <c r="BW17">
        <f>RTD("rtdtrading.rtdserver",, "INDFUT_F_0", "CAB")</f>
        <v>210248</v>
      </c>
      <c r="BX17" t="str">
        <f>RTD("rtdtrading.rtdserver",, "INDFUT_F_0", "EST")</f>
        <v>Aberto</v>
      </c>
      <c r="BY17" t="str">
        <f>RTD("rtdtrading.rtdserver",, "INDFUT_F_0", "BLACK")</f>
        <v>-</v>
      </c>
      <c r="BZ17" t="str">
        <f>RTD("rtdtrading.rtdserver",, "INDFUT_F_0", "IMPVT")</f>
        <v>-</v>
      </c>
      <c r="CA17" t="str">
        <f>RTD("rtdtrading.rtdserver",, "INDFUT_F_0", "DELTA")</f>
        <v>-</v>
      </c>
      <c r="CB17" t="str">
        <f>RTD("rtdtrading.rtdserver",, "INDFUT_F_0", "GAMA")</f>
        <v>-</v>
      </c>
      <c r="CC17" t="str">
        <f>RTD("rtdtrading.rtdserver",, "INDFUT_F_0", "THETA")</f>
        <v>-</v>
      </c>
      <c r="CD17" t="str">
        <f>RTD("rtdtrading.rtdserver",, "INDFUT_F_0", "RHO")</f>
        <v>-</v>
      </c>
      <c r="CE17" t="str">
        <f>RTD("rtdtrading.rtdserver",, "INDFUT_F_0", "VEGA")</f>
        <v>-</v>
      </c>
      <c r="CF17" t="str">
        <f>RTD("rtdtrading.rtdserver",, "INDFUT_F_0", "VIA")</f>
        <v>-</v>
      </c>
      <c r="CG17" t="str">
        <f>RTD("rtdtrading.rtdserver",, "INDFUT_F_0", "VIB")</f>
        <v>-</v>
      </c>
      <c r="CH17" t="str">
        <f>RTD("rtdtrading.rtdserver",, "INDFUT_F_0", "DOBRAR")</f>
        <v>-</v>
      </c>
      <c r="CI17" t="str">
        <f>RTD("rtdtrading.rtdserver",, "INDFUT_F_0", "VIVH")</f>
        <v>-</v>
      </c>
      <c r="CJ17" t="str">
        <f>RTD("rtdtrading.rtdserver",, "INDFUT_F_0", "VINT")</f>
        <v>-</v>
      </c>
      <c r="CK17" t="str">
        <f>RTD("rtdtrading.rtdserver",, "INDFUT_F_0", "VEXT")</f>
        <v>-</v>
      </c>
    </row>
    <row r="18" spans="2:89" x14ac:dyDescent="0.25">
      <c r="B18" t="s">
        <v>182</v>
      </c>
      <c r="C18" t="s">
        <v>183</v>
      </c>
      <c r="D18" t="s">
        <v>142</v>
      </c>
      <c r="E18" s="76">
        <v>461715081</v>
      </c>
      <c r="F18">
        <v>0.33900000000000002</v>
      </c>
      <c r="J18" s="3">
        <f>RTD("rtdtrading.rtdserver",, $B18&amp;"_B_0", J$4)</f>
        <v>16.190000000000001</v>
      </c>
      <c r="K18" s="3">
        <f>RTD("rtdtrading.rtdserver",, $B18&amp;"_B_0", K$4)</f>
        <v>15.64</v>
      </c>
      <c r="L18" s="3">
        <f>RTD("rtdtrading.rtdserver",, $B18&amp;"_B_0", L$4)</f>
        <v>0</v>
      </c>
      <c r="M18" s="3">
        <f t="shared" si="3"/>
        <v>15.64</v>
      </c>
      <c r="O18" s="33">
        <f t="shared" si="4"/>
        <v>480.81704306123834</v>
      </c>
      <c r="P18" s="10">
        <f t="shared" si="0"/>
        <v>-3.3971587399629466E-2</v>
      </c>
      <c r="Q18">
        <v>1.2999999999999999E-5</v>
      </c>
      <c r="R18" s="17">
        <f t="shared" si="5"/>
        <v>-3.3958587399629467E-2</v>
      </c>
      <c r="S18">
        <v>13</v>
      </c>
      <c r="T18" s="10" t="str">
        <f t="shared" si="6"/>
        <v>CPFE3</v>
      </c>
      <c r="U18" s="10">
        <f t="shared" si="1"/>
        <v>1.1751969760166854E-2</v>
      </c>
      <c r="V18" t="str">
        <f t="shared" si="7"/>
        <v/>
      </c>
      <c r="W18" s="10" t="str">
        <f t="shared" si="8"/>
        <v>B3SA3</v>
      </c>
      <c r="X18" s="10">
        <f t="shared" si="9"/>
        <v>-1.2582512981903998E-2</v>
      </c>
      <c r="Y18" s="33">
        <f t="shared" si="10"/>
        <v>480.81704306123834</v>
      </c>
      <c r="Z18" s="80">
        <f t="shared" si="11"/>
        <v>0</v>
      </c>
      <c r="AA18" s="2"/>
      <c r="AB18" s="34">
        <v>46016</v>
      </c>
      <c r="AC18" s="2"/>
      <c r="AD18" s="2"/>
      <c r="AE18" s="2"/>
      <c r="AF18" s="2"/>
      <c r="AG18" s="2"/>
      <c r="AH18" s="2">
        <f t="shared" ca="1" si="2"/>
        <v>2033.3333333333321</v>
      </c>
      <c r="AI18" s="2">
        <v>15</v>
      </c>
      <c r="AJ18" s="2"/>
      <c r="AM18" t="s">
        <v>184</v>
      </c>
      <c r="AN18" t="str">
        <f>RTD("rtdtrading.rtdserver",, "MRVE3_B_0", "DAT")</f>
        <v>14/10/2025</v>
      </c>
      <c r="AO18" t="str">
        <f>RTD("rtdtrading.rtdserver",, "MRVE3_B_0", "HOR")</f>
        <v>17:07:55</v>
      </c>
      <c r="AP18">
        <f>RTD("rtdtrading.rtdserver",, "MRVE3_B_0", "ULT")</f>
        <v>6.24</v>
      </c>
      <c r="AQ18">
        <f>RTD("rtdtrading.rtdserver",, "MRVE3_B_0", "ABE")</f>
        <v>6.17</v>
      </c>
      <c r="AR18">
        <f>RTD("rtdtrading.rtdserver",, "MRVE3_B_0", "MAX")</f>
        <v>6.26</v>
      </c>
      <c r="AS18">
        <f>RTD("rtdtrading.rtdserver",, "MRVE3_B_0", "MIN")</f>
        <v>6.11</v>
      </c>
      <c r="AT18">
        <f>RTD("rtdtrading.rtdserver",, "MRVE3_B_0", "FEC")</f>
        <v>6.2200000000000006</v>
      </c>
      <c r="AU18">
        <f>RTD("rtdtrading.rtdserver",, "MRVE3_B_0", "PEX")</f>
        <v>0</v>
      </c>
      <c r="AV18">
        <f>RTD("rtdtrading.rtdserver",, "MRVE3_B_0", "VAR")</f>
        <v>0.32154340836012174</v>
      </c>
      <c r="AW18">
        <f>RTD("rtdtrading.rtdserver",, "MRVE3_B_0", "VARPTS")</f>
        <v>1.9999999999999574E-2</v>
      </c>
      <c r="AX18">
        <f>RTD("rtdtrading.rtdserver",, "MRVE3_B_0", "MED")</f>
        <v>6.2049950631025261</v>
      </c>
      <c r="AY18" t="s">
        <v>185</v>
      </c>
      <c r="AZ18">
        <f>RTD("rtdtrading.rtdserver",, "MRVE3_B_0", "NEG")</f>
        <v>7711</v>
      </c>
      <c r="BA18">
        <f>RTD("rtdtrading.rtdserver",, "MRVE3_B_0", "QUL")</f>
        <v>0</v>
      </c>
      <c r="BB18">
        <f>RTD("rtdtrading.rtdserver",, "MRVE3_B_0", "QTT")</f>
        <v>5570300</v>
      </c>
      <c r="BC18">
        <f>RTD("rtdtrading.rtdserver",, "MRVE3_B_0", "VOL")</f>
        <v>34563684</v>
      </c>
      <c r="BD18">
        <f>RTD("rtdtrading.rtdserver",, "MRVE3_B_0", "OCP")</f>
        <v>6.2</v>
      </c>
      <c r="BE18">
        <f>RTD("rtdtrading.rtdserver",, "MRVE3_B_0", "OVD")</f>
        <v>6.26</v>
      </c>
      <c r="BF18">
        <f>RTD("rtdtrading.rtdserver",, "MRVE3_B_0", "VOC")</f>
        <v>500</v>
      </c>
      <c r="BG18">
        <f>RTD("rtdtrading.rtdserver",, "MRVE3_B_0", "VOV")</f>
        <v>7000</v>
      </c>
      <c r="BH18">
        <f>RTD("rtdtrading.rtdserver",, "MRVE3_B_0", "AJU")</f>
        <v>0</v>
      </c>
      <c r="BI18">
        <f>RTD("rtdtrading.rtdserver",, "MRVE3_B_0", "AJA")</f>
        <v>0</v>
      </c>
      <c r="BJ18">
        <f>RTD("rtdtrading.rtdserver",, "MRVE3_B_0", "PRT")</f>
        <v>0</v>
      </c>
      <c r="BK18">
        <f>RTD("rtdtrading.rtdserver",, "MRVE3_B_0", "QTE")</f>
        <v>0</v>
      </c>
      <c r="BL18">
        <f>RTD("rtdtrading.rtdserver",, "MRVE3_B_0", "VPJ")</f>
        <v>34563684</v>
      </c>
      <c r="BM18">
        <f>RTD("rtdtrading.rtdserver",, "MRVE3_B_0", "SEM")</f>
        <v>-0.31948881789138117</v>
      </c>
      <c r="BN18">
        <f>RTD("rtdtrading.rtdserver",, "MRVE3_B_0", "MES")</f>
        <v>-16.241610738255034</v>
      </c>
      <c r="BO18">
        <f>RTD("rtdtrading.rtdserver",, "MRVE3_B_0", "3M")</f>
        <v>-0.4784688995215351</v>
      </c>
      <c r="BP18">
        <f>RTD("rtdtrading.rtdserver",, "MRVE3_B_0", "6M")</f>
        <v>26.57200811359025</v>
      </c>
      <c r="BQ18">
        <f>RTD("rtdtrading.rtdserver",, "MRVE3_B_0", "12M")</f>
        <v>-15.217391304347828</v>
      </c>
      <c r="BR18">
        <f>RTD("rtdtrading.rtdserver",, "MRVE3_B_0", "ANO")</f>
        <v>17.514124293785304</v>
      </c>
      <c r="BS18">
        <f>RTD("rtdtrading.rtdserver",, "MRVE3_B_0", "TRIM")</f>
        <v>-16.241610738255034</v>
      </c>
      <c r="BT18">
        <f>RTD("rtdtrading.rtdserver",, "MRVE3_B_0", "SEMES")</f>
        <v>-2.0408163265306105</v>
      </c>
      <c r="BU18" t="str">
        <f>RTD("rtdtrading.rtdserver",, "MRVE3_B_0", "VEN")</f>
        <v>-</v>
      </c>
      <c r="BV18" t="str">
        <f>RTD("rtdtrading.rtdserver",, "MRVE3_B_0", "VAL")</f>
        <v>31/12/9999</v>
      </c>
      <c r="BW18">
        <f>RTD("rtdtrading.rtdserver",, "MRVE3_B_0", "CAB")</f>
        <v>0</v>
      </c>
      <c r="BX18" t="str">
        <f>RTD("rtdtrading.rtdserver",, "MRVE3_B_0", "EST")</f>
        <v>Pré-Fechamento</v>
      </c>
      <c r="BY18" t="str">
        <f>RTD("rtdtrading.rtdserver",, "MRVE3_B_0", "BLACK")</f>
        <v>-</v>
      </c>
      <c r="BZ18" t="str">
        <f>RTD("rtdtrading.rtdserver",, "MRVE3_B_0", "IMPVT")</f>
        <v>-</v>
      </c>
      <c r="CA18" t="str">
        <f>RTD("rtdtrading.rtdserver",, "MRVE3_B_0", "DELTA")</f>
        <v>-</v>
      </c>
      <c r="CB18" t="str">
        <f>RTD("rtdtrading.rtdserver",, "MRVE3_B_0", "GAMA")</f>
        <v>-</v>
      </c>
      <c r="CC18" t="str">
        <f>RTD("rtdtrading.rtdserver",, "MRVE3_B_0", "THETA")</f>
        <v>-</v>
      </c>
      <c r="CD18" t="str">
        <f>RTD("rtdtrading.rtdserver",, "MRVE3_B_0", "RHO")</f>
        <v>-</v>
      </c>
      <c r="CE18" t="str">
        <f>RTD("rtdtrading.rtdserver",, "MRVE3_B_0", "VEGA")</f>
        <v>-</v>
      </c>
      <c r="CF18" t="str">
        <f>RTD("rtdtrading.rtdserver",, "MRVE3_B_0", "VIA")</f>
        <v>-</v>
      </c>
      <c r="CG18" t="str">
        <f>RTD("rtdtrading.rtdserver",, "MRVE3_B_0", "VIB")</f>
        <v>-</v>
      </c>
      <c r="CH18" t="str">
        <f>RTD("rtdtrading.rtdserver",, "MRVE3_B_0", "DOBRAR")</f>
        <v>-</v>
      </c>
      <c r="CI18" t="str">
        <f>RTD("rtdtrading.rtdserver",, "MRVE3_B_0", "VIVH")</f>
        <v>-</v>
      </c>
      <c r="CJ18" t="str">
        <f>RTD("rtdtrading.rtdserver",, "MRVE3_B_0", "VINT")</f>
        <v>-</v>
      </c>
      <c r="CK18" t="str">
        <f>RTD("rtdtrading.rtdserver",, "MRVE3_B_0", "VEXT")</f>
        <v>-</v>
      </c>
    </row>
    <row r="19" spans="2:89" x14ac:dyDescent="0.25">
      <c r="B19" t="s">
        <v>190</v>
      </c>
      <c r="C19" t="s">
        <v>191</v>
      </c>
      <c r="D19" t="s">
        <v>192</v>
      </c>
      <c r="E19" s="76">
        <v>1404794900</v>
      </c>
      <c r="F19">
        <v>3.0640000000000001</v>
      </c>
      <c r="J19" s="3">
        <f>RTD("rtdtrading.rtdserver",, $B19&amp;"_B_0", J$4)</f>
        <v>47.31</v>
      </c>
      <c r="K19" s="3">
        <f>RTD("rtdtrading.rtdserver",, $B19&amp;"_B_0", K$4)</f>
        <v>46.400000000000006</v>
      </c>
      <c r="L19" s="3">
        <f>RTD("rtdtrading.rtdserver",, $B19&amp;"_B_0", L$4)</f>
        <v>0</v>
      </c>
      <c r="M19" s="3">
        <f t="shared" si="3"/>
        <v>46.400000000000006</v>
      </c>
      <c r="O19" s="33">
        <f t="shared" si="4"/>
        <v>4340.1021054701487</v>
      </c>
      <c r="P19" s="10">
        <f t="shared" si="0"/>
        <v>-1.9234834073134532E-2</v>
      </c>
      <c r="Q19">
        <v>1.4E-5</v>
      </c>
      <c r="R19" s="17">
        <f t="shared" si="5"/>
        <v>-1.9220834073134532E-2</v>
      </c>
      <c r="S19">
        <v>14</v>
      </c>
      <c r="T19" s="10" t="str">
        <f t="shared" si="6"/>
        <v>RDOR3</v>
      </c>
      <c r="U19" s="10">
        <f t="shared" si="1"/>
        <v>1.1635327044025111E-2</v>
      </c>
      <c r="V19" t="str">
        <f t="shared" si="7"/>
        <v/>
      </c>
      <c r="W19" s="10" t="str">
        <f t="shared" si="8"/>
        <v>RECV3</v>
      </c>
      <c r="X19" s="10">
        <f t="shared" si="9"/>
        <v>-1.227752631578949E-2</v>
      </c>
      <c r="Y19" s="33">
        <f t="shared" si="10"/>
        <v>4340.1021054701487</v>
      </c>
      <c r="Z19" s="80">
        <f t="shared" si="11"/>
        <v>0</v>
      </c>
      <c r="AA19" s="2"/>
      <c r="AB19" s="34">
        <v>46022</v>
      </c>
      <c r="AC19" s="2"/>
      <c r="AD19" s="2"/>
      <c r="AE19" s="2"/>
      <c r="AF19" s="2"/>
      <c r="AG19" s="2"/>
      <c r="AH19" s="2">
        <f t="shared" ca="1" si="2"/>
        <v>1965.5555555555543</v>
      </c>
      <c r="AI19" s="2">
        <v>16</v>
      </c>
      <c r="AJ19" s="2"/>
      <c r="AM19" t="s">
        <v>188</v>
      </c>
      <c r="AN19" t="str">
        <f>RTD("rtdtrading.rtdserver",, "GOAU4_B_0", "DAT")</f>
        <v>14/10/2025</v>
      </c>
      <c r="AO19" t="str">
        <f>RTD("rtdtrading.rtdserver",, "GOAU4_B_0", "HOR")</f>
        <v>17:59:53</v>
      </c>
      <c r="AP19">
        <f>RTD("rtdtrading.rtdserver",, "GOAU4_B_0", "ULT")</f>
        <v>10.24</v>
      </c>
      <c r="AQ19">
        <f>RTD("rtdtrading.rtdserver",, "GOAU4_B_0", "ABE")</f>
        <v>10.16</v>
      </c>
      <c r="AR19">
        <f>RTD("rtdtrading.rtdserver",, "GOAU4_B_0", "MAX")</f>
        <v>10.32</v>
      </c>
      <c r="AS19">
        <f>RTD("rtdtrading.rtdserver",, "GOAU4_B_0", "MIN")</f>
        <v>10.14</v>
      </c>
      <c r="AT19">
        <f>RTD("rtdtrading.rtdserver",, "GOAU4_B_0", "FEC")</f>
        <v>10.25</v>
      </c>
      <c r="AU19">
        <f>RTD("rtdtrading.rtdserver",, "GOAU4_B_0", "PEX")</f>
        <v>0</v>
      </c>
      <c r="AV19">
        <f>RTD("rtdtrading.rtdserver",, "GOAU4_B_0", "VAR")</f>
        <v>-9.7560975609754019E-2</v>
      </c>
      <c r="AW19">
        <f>RTD("rtdtrading.rtdserver",, "GOAU4_B_0", "VARPTS")</f>
        <v>-9.9999999999997868E-3</v>
      </c>
      <c r="AX19">
        <f>RTD("rtdtrading.rtdserver",, "GOAU4_B_0", "MED")</f>
        <v>10.256454830712016</v>
      </c>
      <c r="AY19" t="s">
        <v>189</v>
      </c>
      <c r="AZ19">
        <f>RTD("rtdtrading.rtdserver",, "GOAU4_B_0", "NEG")</f>
        <v>7226</v>
      </c>
      <c r="BA19">
        <f>RTD("rtdtrading.rtdserver",, "GOAU4_B_0", "QUL")</f>
        <v>0</v>
      </c>
      <c r="BB19">
        <f>RTD("rtdtrading.rtdserver",, "GOAU4_B_0", "QTT")</f>
        <v>5162800</v>
      </c>
      <c r="BC19">
        <f>RTD("rtdtrading.rtdserver",, "GOAU4_B_0", "VOL")</f>
        <v>52952025</v>
      </c>
      <c r="BD19">
        <f>RTD("rtdtrading.rtdserver",, "GOAU4_B_0", "OCP")</f>
        <v>10.15</v>
      </c>
      <c r="BE19">
        <f>RTD("rtdtrading.rtdserver",, "GOAU4_B_0", "OVD")</f>
        <v>10.290000000000001</v>
      </c>
      <c r="BF19">
        <f>RTD("rtdtrading.rtdserver",, "GOAU4_B_0", "VOC")</f>
        <v>100</v>
      </c>
      <c r="BG19">
        <f>RTD("rtdtrading.rtdserver",, "GOAU4_B_0", "VOV")</f>
        <v>100</v>
      </c>
      <c r="BH19">
        <f>RTD("rtdtrading.rtdserver",, "GOAU4_B_0", "AJU")</f>
        <v>0</v>
      </c>
      <c r="BI19">
        <f>RTD("rtdtrading.rtdserver",, "GOAU4_B_0", "AJA")</f>
        <v>0</v>
      </c>
      <c r="BJ19">
        <f>RTD("rtdtrading.rtdserver",, "GOAU4_B_0", "PRT")</f>
        <v>0</v>
      </c>
      <c r="BK19">
        <f>RTD("rtdtrading.rtdserver",, "GOAU4_B_0", "QTE")</f>
        <v>0</v>
      </c>
      <c r="BL19">
        <f>RTD("rtdtrading.rtdserver",, "GOAU4_B_0", "VPJ")</f>
        <v>52952025</v>
      </c>
      <c r="BM19">
        <f>RTD("rtdtrading.rtdserver",, "GOAU4_B_0", "SEM")</f>
        <v>1.9920318725099528</v>
      </c>
      <c r="BN19">
        <f>RTD("rtdtrading.rtdserver",, "GOAU4_B_0", "MES")</f>
        <v>7.5630252100840405</v>
      </c>
      <c r="BO19">
        <f>RTD("rtdtrading.rtdserver",, "GOAU4_B_0", "3M")</f>
        <v>10.844103829750376</v>
      </c>
      <c r="BP19">
        <f>RTD("rtdtrading.rtdserver",, "GOAU4_B_0", "6M")</f>
        <v>27.825837296683254</v>
      </c>
      <c r="BQ19">
        <f>RTD("rtdtrading.rtdserver",, "GOAU4_B_0", "12M")</f>
        <v>1.3620525815647673</v>
      </c>
      <c r="BR19">
        <f>RTD("rtdtrading.rtdserver",, "GOAU4_B_0", "ANO")</f>
        <v>2.3181454836131028</v>
      </c>
      <c r="BS19">
        <f>RTD("rtdtrading.rtdserver",, "GOAU4_B_0", "TRIM")</f>
        <v>7.5630252100840405</v>
      </c>
      <c r="BT19">
        <f>RTD("rtdtrading.rtdserver",, "GOAU4_B_0", "SEMES")</f>
        <v>15.683992905317613</v>
      </c>
      <c r="BU19" t="str">
        <f>RTD("rtdtrading.rtdserver",, "GOAU4_B_0", "VEN")</f>
        <v>-</v>
      </c>
      <c r="BV19" t="str">
        <f>RTD("rtdtrading.rtdserver",, "GOAU4_B_0", "VAL")</f>
        <v>31/12/9999</v>
      </c>
      <c r="BW19">
        <f>RTD("rtdtrading.rtdserver",, "GOAU4_B_0", "CAB")</f>
        <v>0</v>
      </c>
      <c r="BX19" t="str">
        <f>RTD("rtdtrading.rtdserver",, "GOAU4_B_0", "EST")</f>
        <v>Pré-Fechamento</v>
      </c>
      <c r="BY19" t="str">
        <f>RTD("rtdtrading.rtdserver",, "GOAU4_B_0", "BLACK")</f>
        <v>-</v>
      </c>
      <c r="BZ19" t="str">
        <f>RTD("rtdtrading.rtdserver",, "GOAU4_B_0", "IMPVT")</f>
        <v>-</v>
      </c>
      <c r="CA19" t="str">
        <f>RTD("rtdtrading.rtdserver",, "GOAU4_B_0", "DELTA")</f>
        <v>-</v>
      </c>
      <c r="CB19" t="str">
        <f>RTD("rtdtrading.rtdserver",, "GOAU4_B_0", "GAMA")</f>
        <v>-</v>
      </c>
      <c r="CC19" t="str">
        <f>RTD("rtdtrading.rtdserver",, "GOAU4_B_0", "THETA")</f>
        <v>-</v>
      </c>
      <c r="CD19" t="str">
        <f>RTD("rtdtrading.rtdserver",, "GOAU4_B_0", "RHO")</f>
        <v>-</v>
      </c>
      <c r="CE19" t="str">
        <f>RTD("rtdtrading.rtdserver",, "GOAU4_B_0", "VEGA")</f>
        <v>-</v>
      </c>
      <c r="CF19" t="str">
        <f>RTD("rtdtrading.rtdserver",, "GOAU4_B_0", "VIA")</f>
        <v>-</v>
      </c>
      <c r="CG19" t="str">
        <f>RTD("rtdtrading.rtdserver",, "GOAU4_B_0", "VIB")</f>
        <v>-</v>
      </c>
      <c r="CH19" t="str">
        <f>RTD("rtdtrading.rtdserver",, "GOAU4_B_0", "DOBRAR")</f>
        <v>-</v>
      </c>
      <c r="CI19" t="str">
        <f>RTD("rtdtrading.rtdserver",, "GOAU4_B_0", "VIVH")</f>
        <v>-</v>
      </c>
      <c r="CJ19" t="str">
        <f>RTD("rtdtrading.rtdserver",, "GOAU4_B_0", "VINT")</f>
        <v>-</v>
      </c>
      <c r="CK19" t="str">
        <f>RTD("rtdtrading.rtdserver",, "GOAU4_B_0", "VEXT")</f>
        <v>-</v>
      </c>
    </row>
    <row r="20" spans="2:89" x14ac:dyDescent="0.25">
      <c r="B20" t="s">
        <v>194</v>
      </c>
      <c r="C20" t="s">
        <v>195</v>
      </c>
      <c r="D20" t="s">
        <v>142</v>
      </c>
      <c r="E20" s="76">
        <v>600000000</v>
      </c>
      <c r="F20">
        <v>0.42</v>
      </c>
      <c r="J20" s="3">
        <f>RTD("rtdtrading.rtdserver",, $B20&amp;"_B_0", J$4)</f>
        <v>14.91</v>
      </c>
      <c r="K20" s="3">
        <f>RTD("rtdtrading.rtdserver",, $B20&amp;"_B_0", K$4)</f>
        <v>14.9</v>
      </c>
      <c r="L20" s="3">
        <f>RTD("rtdtrading.rtdserver",, $B20&amp;"_B_0", L$4)</f>
        <v>0</v>
      </c>
      <c r="M20" s="3">
        <f t="shared" si="3"/>
        <v>14.9</v>
      </c>
      <c r="O20" s="33">
        <f t="shared" si="4"/>
        <v>595.25981249609038</v>
      </c>
      <c r="P20" s="10">
        <f t="shared" si="0"/>
        <v>-6.7069081153581234E-4</v>
      </c>
      <c r="Q20">
        <v>1.5E-5</v>
      </c>
      <c r="R20" s="17">
        <f t="shared" si="5"/>
        <v>-6.556908115358123E-4</v>
      </c>
      <c r="S20">
        <v>15</v>
      </c>
      <c r="T20" s="10" t="str">
        <f t="shared" si="6"/>
        <v>SBSP3</v>
      </c>
      <c r="U20" s="10">
        <f t="shared" si="1"/>
        <v>1.0588759410669521E-2</v>
      </c>
      <c r="V20" t="str">
        <f t="shared" si="7"/>
        <v/>
      </c>
      <c r="W20" s="10" t="str">
        <f t="shared" si="8"/>
        <v>ALOS3</v>
      </c>
      <c r="X20" s="10">
        <f t="shared" si="9"/>
        <v>-1.1220945137157131E-2</v>
      </c>
      <c r="Y20" s="33">
        <f t="shared" si="10"/>
        <v>595.25981249609038</v>
      </c>
      <c r="Z20" s="80">
        <f t="shared" si="11"/>
        <v>0</v>
      </c>
      <c r="AA20" s="2"/>
      <c r="AB20" s="34"/>
      <c r="AC20" s="2"/>
      <c r="AD20" s="2"/>
      <c r="AE20" s="2"/>
      <c r="AF20" s="2"/>
      <c r="AG20" s="2"/>
      <c r="AH20" s="2">
        <f t="shared" ca="1" si="2"/>
        <v>1897.7777777777765</v>
      </c>
      <c r="AI20" s="2">
        <v>17</v>
      </c>
      <c r="AJ20" s="2"/>
      <c r="AM20" t="s">
        <v>133</v>
      </c>
      <c r="AN20" t="str">
        <f>RTD("rtdtrading.rtdserver",, "ABEV3_B_0", "DAT")</f>
        <v>14/10/2025</v>
      </c>
      <c r="AO20" t="str">
        <f>RTD("rtdtrading.rtdserver",, "ABEV3_B_0", "HOR")</f>
        <v>17:07:35</v>
      </c>
      <c r="AP20">
        <f>RTD("rtdtrading.rtdserver",, "ABEV3_B_0", "ULT")</f>
        <v>12.05</v>
      </c>
      <c r="AQ20">
        <f>RTD("rtdtrading.rtdserver",, "ABEV3_B_0", "ABE")</f>
        <v>11.8</v>
      </c>
      <c r="AR20">
        <f>RTD("rtdtrading.rtdserver",, "ABEV3_B_0", "MAX")</f>
        <v>12.1</v>
      </c>
      <c r="AS20">
        <f>RTD("rtdtrading.rtdserver",, "ABEV3_B_0", "MIN")</f>
        <v>11.75</v>
      </c>
      <c r="AT20">
        <f>RTD("rtdtrading.rtdserver",, "ABEV3_B_0", "FEC")</f>
        <v>11.860000000000001</v>
      </c>
      <c r="AU20">
        <f>RTD("rtdtrading.rtdserver",, "ABEV3_B_0", "PEX")</f>
        <v>0</v>
      </c>
      <c r="AV20">
        <f>RTD("rtdtrading.rtdserver",, "ABEV3_B_0", "VAR")</f>
        <v>1.6020236087689668</v>
      </c>
      <c r="AW20">
        <f>RTD("rtdtrading.rtdserver",, "ABEV3_B_0", "VARPTS")</f>
        <v>0.1899999999999995</v>
      </c>
      <c r="AX20">
        <f>RTD("rtdtrading.rtdserver",, "ABEV3_B_0", "MED")</f>
        <v>12.021358290832579</v>
      </c>
      <c r="AY20" t="s">
        <v>193</v>
      </c>
      <c r="AZ20">
        <f>RTD("rtdtrading.rtdserver",, "ABEV3_B_0", "NEG")</f>
        <v>14521</v>
      </c>
      <c r="BA20">
        <f>RTD("rtdtrading.rtdserver",, "ABEV3_B_0", "QUL")</f>
        <v>0</v>
      </c>
      <c r="BB20">
        <f>RTD("rtdtrading.rtdserver",, "ABEV3_B_0", "QTT")</f>
        <v>29038700</v>
      </c>
      <c r="BC20">
        <f>RTD("rtdtrading.rtdserver",, "ABEV3_B_0", "VOL")</f>
        <v>349084617</v>
      </c>
      <c r="BD20">
        <f>RTD("rtdtrading.rtdserver",, "ABEV3_B_0", "OCP")</f>
        <v>12.05</v>
      </c>
      <c r="BE20">
        <f>RTD("rtdtrading.rtdserver",, "ABEV3_B_0", "OVD")</f>
        <v>12.13</v>
      </c>
      <c r="BF20">
        <f>RTD("rtdtrading.rtdserver",, "ABEV3_B_0", "VOC")</f>
        <v>2000</v>
      </c>
      <c r="BG20">
        <f>RTD("rtdtrading.rtdserver",, "ABEV3_B_0", "VOV")</f>
        <v>900</v>
      </c>
      <c r="BH20">
        <f>RTD("rtdtrading.rtdserver",, "ABEV3_B_0", "AJU")</f>
        <v>0</v>
      </c>
      <c r="BI20">
        <f>RTD("rtdtrading.rtdserver",, "ABEV3_B_0", "AJA")</f>
        <v>0</v>
      </c>
      <c r="BJ20">
        <f>RTD("rtdtrading.rtdserver",, "ABEV3_B_0", "PRT")</f>
        <v>0</v>
      </c>
      <c r="BK20">
        <f>RTD("rtdtrading.rtdserver",, "ABEV3_B_0", "QTE")</f>
        <v>0</v>
      </c>
      <c r="BL20">
        <f>RTD("rtdtrading.rtdserver",, "ABEV3_B_0", "VPJ")</f>
        <v>349084617</v>
      </c>
      <c r="BM20">
        <f>RTD("rtdtrading.rtdserver",, "ABEV3_B_0", "SEM")</f>
        <v>2.032176121930569</v>
      </c>
      <c r="BN20">
        <f>RTD("rtdtrading.rtdserver",, "ABEV3_B_0", "MES")</f>
        <v>-0.33085194375516247</v>
      </c>
      <c r="BO20">
        <f>RTD("rtdtrading.rtdserver",, "ABEV3_B_0", "3M")</f>
        <v>-8.392884293750944</v>
      </c>
      <c r="BP20">
        <f>RTD("rtdtrading.rtdserver",, "ABEV3_B_0", "6M")</f>
        <v>-8.8750415923046688</v>
      </c>
      <c r="BQ20">
        <f>RTD("rtdtrading.rtdserver",, "ABEV3_B_0", "12M")</f>
        <v>1.269865281664688</v>
      </c>
      <c r="BR20">
        <f>RTD("rtdtrading.rtdserver",, "ABEV3_B_0", "ANO")</f>
        <v>5.6192972153318879</v>
      </c>
      <c r="BS20">
        <f>RTD("rtdtrading.rtdserver",, "ABEV3_B_0", "TRIM")</f>
        <v>-0.33085194375516247</v>
      </c>
      <c r="BT20">
        <f>RTD("rtdtrading.rtdserver",, "ABEV3_B_0", "SEMES")</f>
        <v>-8.5992551408178226</v>
      </c>
      <c r="BU20" t="str">
        <f>RTD("rtdtrading.rtdserver",, "ABEV3_B_0", "VEN")</f>
        <v>-</v>
      </c>
      <c r="BV20" t="str">
        <f>RTD("rtdtrading.rtdserver",, "ABEV3_B_0", "VAL")</f>
        <v>31/12/9999</v>
      </c>
      <c r="BW20">
        <f>RTD("rtdtrading.rtdserver",, "ABEV3_B_0", "CAB")</f>
        <v>0</v>
      </c>
      <c r="BX20" t="str">
        <f>RTD("rtdtrading.rtdserver",, "ABEV3_B_0", "EST")</f>
        <v>Pré-Fechamento</v>
      </c>
      <c r="BY20" t="str">
        <f>RTD("rtdtrading.rtdserver",, "ABEV3_B_0", "BLACK")</f>
        <v>-</v>
      </c>
      <c r="BZ20" t="str">
        <f>RTD("rtdtrading.rtdserver",, "ABEV3_B_0", "IMPVT")</f>
        <v>-</v>
      </c>
      <c r="CA20" t="str">
        <f>RTD("rtdtrading.rtdserver",, "ABEV3_B_0", "DELTA")</f>
        <v>-</v>
      </c>
      <c r="CB20" t="str">
        <f>RTD("rtdtrading.rtdserver",, "ABEV3_B_0", "GAMA")</f>
        <v>-</v>
      </c>
      <c r="CC20" t="str">
        <f>RTD("rtdtrading.rtdserver",, "ABEV3_B_0", "THETA")</f>
        <v>-</v>
      </c>
      <c r="CD20" t="str">
        <f>RTD("rtdtrading.rtdserver",, "ABEV3_B_0", "RHO")</f>
        <v>-</v>
      </c>
      <c r="CE20" t="str">
        <f>RTD("rtdtrading.rtdserver",, "ABEV3_B_0", "VEGA")</f>
        <v>-</v>
      </c>
      <c r="CF20" t="str">
        <f>RTD("rtdtrading.rtdserver",, "ABEV3_B_0", "VIA")</f>
        <v>-</v>
      </c>
      <c r="CG20" t="str">
        <f>RTD("rtdtrading.rtdserver",, "ABEV3_B_0", "VIB")</f>
        <v>-</v>
      </c>
      <c r="CH20" t="str">
        <f>RTD("rtdtrading.rtdserver",, "ABEV3_B_0", "DOBRAR")</f>
        <v>-</v>
      </c>
      <c r="CI20" t="str">
        <f>RTD("rtdtrading.rtdserver",, "ABEV3_B_0", "VIVH")</f>
        <v>-</v>
      </c>
      <c r="CJ20" t="str">
        <f>RTD("rtdtrading.rtdserver",, "ABEV3_B_0", "VINT")</f>
        <v>-</v>
      </c>
      <c r="CK20" t="str">
        <f>RTD("rtdtrading.rtdserver",, "ABEV3_B_0", "VEXT")</f>
        <v>-</v>
      </c>
    </row>
    <row r="21" spans="2:89" x14ac:dyDescent="0.25">
      <c r="B21" t="s">
        <v>459</v>
      </c>
      <c r="C21" t="s">
        <v>460</v>
      </c>
      <c r="D21" t="s">
        <v>142</v>
      </c>
      <c r="E21" s="76">
        <v>138420009</v>
      </c>
      <c r="F21">
        <v>0.10199999999999999</v>
      </c>
      <c r="J21" s="3">
        <f>RTD("rtdtrading.rtdserver",, $B21&amp;"_B_0", J$4)</f>
        <v>15.530000000000001</v>
      </c>
      <c r="K21" s="3">
        <f>RTD("rtdtrading.rtdserver",, $B21&amp;"_B_0", K$4)</f>
        <v>15.75</v>
      </c>
      <c r="L21" s="3">
        <f>RTD("rtdtrading.rtdserver",, $B21&amp;"_B_0", L$4)</f>
        <v>0</v>
      </c>
      <c r="M21" s="3">
        <f t="shared" si="3"/>
        <v>15.75</v>
      </c>
      <c r="O21" s="33">
        <f t="shared" si="4"/>
        <v>145.16050676711325</v>
      </c>
      <c r="P21" s="10">
        <f t="shared" si="0"/>
        <v>1.4166130070830674E-2</v>
      </c>
      <c r="Q21">
        <v>1.5999999999999999E-5</v>
      </c>
      <c r="R21" s="17">
        <f t="shared" si="5"/>
        <v>1.4182130070830674E-2</v>
      </c>
      <c r="S21">
        <v>16</v>
      </c>
      <c r="T21" s="10" t="str">
        <f t="shared" si="6"/>
        <v>BBDC3</v>
      </c>
      <c r="U21" s="10">
        <f t="shared" si="1"/>
        <v>1.0388622837370179E-2</v>
      </c>
      <c r="V21" t="str">
        <f t="shared" si="7"/>
        <v/>
      </c>
      <c r="W21" s="10" t="str">
        <f t="shared" si="8"/>
        <v>SANB11</v>
      </c>
      <c r="X21" s="10">
        <f t="shared" si="9"/>
        <v>-1.0388217736121096E-2</v>
      </c>
      <c r="Y21" s="33">
        <f t="shared" si="10"/>
        <v>145.16050676711325</v>
      </c>
      <c r="Z21" s="80">
        <f t="shared" si="11"/>
        <v>0</v>
      </c>
      <c r="AA21" s="2"/>
      <c r="AB21" s="34"/>
      <c r="AC21" s="2"/>
      <c r="AD21" s="2"/>
      <c r="AE21" s="2"/>
      <c r="AF21" s="2"/>
      <c r="AG21" s="2"/>
      <c r="AH21" s="2">
        <f t="shared" ca="1" si="2"/>
        <v>1829.9999999999986</v>
      </c>
      <c r="AI21" s="2">
        <v>18</v>
      </c>
      <c r="AJ21" s="2"/>
      <c r="AM21" t="s">
        <v>154</v>
      </c>
      <c r="AN21" t="str">
        <f>RTD("rtdtrading.rtdserver",, "B3SA3_B_0", "DAT")</f>
        <v>14/10/2025</v>
      </c>
      <c r="AO21" t="str">
        <f>RTD("rtdtrading.rtdserver",, "B3SA3_B_0", "HOR")</f>
        <v>17:59:53</v>
      </c>
      <c r="AP21">
        <f>RTD("rtdtrading.rtdserver",, "B3SA3_B_0", "ULT")</f>
        <v>12.55</v>
      </c>
      <c r="AQ21">
        <f>RTD("rtdtrading.rtdserver",, "B3SA3_B_0", "ABE")</f>
        <v>12.66</v>
      </c>
      <c r="AR21">
        <f>RTD("rtdtrading.rtdserver",, "B3SA3_B_0", "MAX")</f>
        <v>12.73</v>
      </c>
      <c r="AS21">
        <f>RTD("rtdtrading.rtdserver",, "B3SA3_B_0", "MIN")</f>
        <v>12.52</v>
      </c>
      <c r="AT21">
        <f>RTD("rtdtrading.rtdserver",, "B3SA3_B_0", "FEC")</f>
        <v>12.71</v>
      </c>
      <c r="AU21">
        <f>RTD("rtdtrading.rtdserver",, "B3SA3_B_0", "PEX")</f>
        <v>0</v>
      </c>
      <c r="AV21">
        <f>RTD("rtdtrading.rtdserver",, "B3SA3_B_0", "VAR")</f>
        <v>-1.2588512981904023</v>
      </c>
      <c r="AW21">
        <f>RTD("rtdtrading.rtdserver",, "B3SA3_B_0", "VARPTS")</f>
        <v>-0.16000000000000014</v>
      </c>
      <c r="AX21">
        <f>RTD("rtdtrading.rtdserver",, "B3SA3_B_0", "MED")</f>
        <v>12.574638959843517</v>
      </c>
      <c r="AY21" t="s">
        <v>196</v>
      </c>
      <c r="AZ21">
        <f>RTD("rtdtrading.rtdserver",, "B3SA3_B_0", "NEG")</f>
        <v>21323</v>
      </c>
      <c r="BA21">
        <f>RTD("rtdtrading.rtdserver",, "B3SA3_B_0", "QUL")</f>
        <v>0</v>
      </c>
      <c r="BB21">
        <f>RTD("rtdtrading.rtdserver",, "B3SA3_B_0", "QTT")</f>
        <v>21727500</v>
      </c>
      <c r="BC21">
        <f>RTD("rtdtrading.rtdserver",, "B3SA3_B_0", "VOL")</f>
        <v>273215468</v>
      </c>
      <c r="BD21">
        <f>RTD("rtdtrading.rtdserver",, "B3SA3_B_0", "OCP")</f>
        <v>12.540000000000001</v>
      </c>
      <c r="BE21">
        <f>RTD("rtdtrading.rtdserver",, "B3SA3_B_0", "OVD")</f>
        <v>12.57</v>
      </c>
      <c r="BF21">
        <f>RTD("rtdtrading.rtdserver",, "B3SA3_B_0", "VOC")</f>
        <v>19300</v>
      </c>
      <c r="BG21">
        <f>RTD("rtdtrading.rtdserver",, "B3SA3_B_0", "VOV")</f>
        <v>400</v>
      </c>
      <c r="BH21">
        <f>RTD("rtdtrading.rtdserver",, "B3SA3_B_0", "AJU")</f>
        <v>0</v>
      </c>
      <c r="BI21">
        <f>RTD("rtdtrading.rtdserver",, "B3SA3_B_0", "AJA")</f>
        <v>0</v>
      </c>
      <c r="BJ21">
        <f>RTD("rtdtrading.rtdserver",, "B3SA3_B_0", "PRT")</f>
        <v>0</v>
      </c>
      <c r="BK21">
        <f>RTD("rtdtrading.rtdserver",, "B3SA3_B_0", "QTE")</f>
        <v>0</v>
      </c>
      <c r="BL21">
        <f>RTD("rtdtrading.rtdserver",, "B3SA3_B_0", "VPJ")</f>
        <v>273215468</v>
      </c>
      <c r="BM21">
        <f>RTD("rtdtrading.rtdserver",, "B3SA3_B_0", "SEM")</f>
        <v>-0.39682539682540247</v>
      </c>
      <c r="BN21">
        <f>RTD("rtdtrading.rtdserver",, "B3SA3_B_0", "MES")</f>
        <v>-6.3432835820895495</v>
      </c>
      <c r="BO21">
        <f>RTD("rtdtrading.rtdserver",, "B3SA3_B_0", "3M")</f>
        <v>-7.3260424897172562</v>
      </c>
      <c r="BP21">
        <f>RTD("rtdtrading.rtdserver",, "B3SA3_B_0", "6M")</f>
        <v>6.1256934109051482</v>
      </c>
      <c r="BQ21">
        <f>RTD("rtdtrading.rtdserver",, "B3SA3_B_0", "12M")</f>
        <v>19.679963380792088</v>
      </c>
      <c r="BR21">
        <f>RTD("rtdtrading.rtdserver",, "B3SA3_B_0", "ANO")</f>
        <v>23.970207637750168</v>
      </c>
      <c r="BS21">
        <f>RTD("rtdtrading.rtdserver",, "B3SA3_B_0", "TRIM")</f>
        <v>-6.3432835820895495</v>
      </c>
      <c r="BT21">
        <f>RTD("rtdtrading.rtdserver",, "B3SA3_B_0", "SEMES")</f>
        <v>-13.491828251983485</v>
      </c>
      <c r="BU21" t="str">
        <f>RTD("rtdtrading.rtdserver",, "B3SA3_B_0", "VEN")</f>
        <v>-</v>
      </c>
      <c r="BV21" t="str">
        <f>RTD("rtdtrading.rtdserver",, "B3SA3_B_0", "VAL")</f>
        <v>31/12/9999</v>
      </c>
      <c r="BW21">
        <f>RTD("rtdtrading.rtdserver",, "B3SA3_B_0", "CAB")</f>
        <v>0</v>
      </c>
      <c r="BX21" t="str">
        <f>RTD("rtdtrading.rtdserver",, "B3SA3_B_0", "EST")</f>
        <v>Pré-Fechamento</v>
      </c>
      <c r="BY21" t="str">
        <f>RTD("rtdtrading.rtdserver",, "B3SA3_B_0", "BLACK")</f>
        <v>-</v>
      </c>
      <c r="BZ21" t="str">
        <f>RTD("rtdtrading.rtdserver",, "B3SA3_B_0", "IMPVT")</f>
        <v>-</v>
      </c>
      <c r="CA21" t="str">
        <f>RTD("rtdtrading.rtdserver",, "B3SA3_B_0", "DELTA")</f>
        <v>-</v>
      </c>
      <c r="CB21" t="str">
        <f>RTD("rtdtrading.rtdserver",, "B3SA3_B_0", "GAMA")</f>
        <v>-</v>
      </c>
      <c r="CC21" t="str">
        <f>RTD("rtdtrading.rtdserver",, "B3SA3_B_0", "THETA")</f>
        <v>-</v>
      </c>
      <c r="CD21" t="str">
        <f>RTD("rtdtrading.rtdserver",, "B3SA3_B_0", "RHO")</f>
        <v>-</v>
      </c>
      <c r="CE21" t="str">
        <f>RTD("rtdtrading.rtdserver",, "B3SA3_B_0", "VEGA")</f>
        <v>-</v>
      </c>
      <c r="CF21" t="str">
        <f>RTD("rtdtrading.rtdserver",, "B3SA3_B_0", "VIA")</f>
        <v>-</v>
      </c>
      <c r="CG21" t="str">
        <f>RTD("rtdtrading.rtdserver",, "B3SA3_B_0", "VIB")</f>
        <v>-</v>
      </c>
      <c r="CH21" t="str">
        <f>RTD("rtdtrading.rtdserver",, "B3SA3_B_0", "DOBRAR")</f>
        <v>-</v>
      </c>
      <c r="CI21" t="str">
        <f>RTD("rtdtrading.rtdserver",, "B3SA3_B_0", "VIVH")</f>
        <v>-</v>
      </c>
      <c r="CJ21" t="str">
        <f>RTD("rtdtrading.rtdserver",, "B3SA3_B_0", "VINT")</f>
        <v>-</v>
      </c>
      <c r="CK21" t="str">
        <f>RTD("rtdtrading.rtdserver",, "B3SA3_B_0", "VEXT")</f>
        <v>-</v>
      </c>
    </row>
    <row r="22" spans="2:89" x14ac:dyDescent="0.25">
      <c r="B22" t="s">
        <v>197</v>
      </c>
      <c r="C22" t="s">
        <v>198</v>
      </c>
      <c r="D22" t="s">
        <v>167</v>
      </c>
      <c r="E22" s="76">
        <v>1904057894</v>
      </c>
      <c r="F22">
        <v>0.95899999999999996</v>
      </c>
      <c r="J22" s="3">
        <f>RTD("rtdtrading.rtdserver",, $B22&amp;"_B_0", J$4)</f>
        <v>10.68</v>
      </c>
      <c r="K22" s="3">
        <f>RTD("rtdtrading.rtdserver",, $B22&amp;"_B_0", K$4)</f>
        <v>10.72</v>
      </c>
      <c r="L22" s="3">
        <f>RTD("rtdtrading.rtdserver",, $B22&amp;"_B_0", L$4)</f>
        <v>0</v>
      </c>
      <c r="M22" s="3">
        <f t="shared" si="3"/>
        <v>10.72</v>
      </c>
      <c r="O22" s="33">
        <f t="shared" si="4"/>
        <v>1359.0767375856362</v>
      </c>
      <c r="P22" s="10">
        <f t="shared" si="0"/>
        <v>3.7453183520599342E-3</v>
      </c>
      <c r="Q22">
        <v>1.7E-5</v>
      </c>
      <c r="R22" s="17">
        <f t="shared" si="5"/>
        <v>3.7623183520599343E-3</v>
      </c>
      <c r="S22">
        <v>17</v>
      </c>
      <c r="T22" s="10" t="str">
        <f t="shared" si="6"/>
        <v>CMIN3</v>
      </c>
      <c r="U22" s="10">
        <f t="shared" si="1"/>
        <v>5.3411489361701375E-3</v>
      </c>
      <c r="V22" t="str">
        <f t="shared" si="7"/>
        <v/>
      </c>
      <c r="W22" s="10" t="str">
        <f t="shared" si="8"/>
        <v>ENEV3</v>
      </c>
      <c r="X22" s="10">
        <f t="shared" si="9"/>
        <v>-1.0284533980582381E-2</v>
      </c>
      <c r="Y22" s="33">
        <f t="shared" si="10"/>
        <v>1359.0767375856362</v>
      </c>
      <c r="Z22" s="80">
        <f t="shared" si="11"/>
        <v>0</v>
      </c>
      <c r="AA22" s="2"/>
      <c r="AB22" s="34"/>
      <c r="AC22" s="2"/>
      <c r="AD22" s="2"/>
      <c r="AE22" s="2"/>
      <c r="AF22" s="2"/>
      <c r="AG22" s="2"/>
      <c r="AH22" s="2">
        <f t="shared" ca="1" si="2"/>
        <v>1762.2222222222208</v>
      </c>
      <c r="AI22" s="2">
        <v>19</v>
      </c>
      <c r="AJ22" s="2"/>
      <c r="AM22" t="s">
        <v>199</v>
      </c>
      <c r="AN22" t="str">
        <f>RTD("rtdtrading.rtdserver",, "GFSA3_B_0", "DAT")</f>
        <v>14/10/2025</v>
      </c>
      <c r="AO22" t="str">
        <f>RTD("rtdtrading.rtdserver",, "GFSA3_B_0", "HOR")</f>
        <v>17:06:00</v>
      </c>
      <c r="AP22">
        <f>RTD("rtdtrading.rtdserver",, "GFSA3_B_0", "ULT")</f>
        <v>6.66</v>
      </c>
      <c r="AQ22">
        <f>RTD("rtdtrading.rtdserver",, "GFSA3_B_0", "ABE")</f>
        <v>6.7</v>
      </c>
      <c r="AR22">
        <f>RTD("rtdtrading.rtdserver",, "GFSA3_B_0", "MAX")</f>
        <v>6.72</v>
      </c>
      <c r="AS22">
        <f>RTD("rtdtrading.rtdserver",, "GFSA3_B_0", "MIN")</f>
        <v>6.49</v>
      </c>
      <c r="AT22">
        <f>RTD("rtdtrading.rtdserver",, "GFSA3_B_0", "FEC")</f>
        <v>6.7</v>
      </c>
      <c r="AU22">
        <f>RTD("rtdtrading.rtdserver",, "GFSA3_B_0", "PEX")</f>
        <v>0</v>
      </c>
      <c r="AV22">
        <f>RTD("rtdtrading.rtdserver",, "GFSA3_B_0", "VAR")</f>
        <v>-0.59701492537313483</v>
      </c>
      <c r="AW22">
        <f>RTD("rtdtrading.rtdserver",, "GFSA3_B_0", "VARPTS")</f>
        <v>-4.0000000000000036E-2</v>
      </c>
      <c r="AX22">
        <f>RTD("rtdtrading.rtdserver",, "GFSA3_B_0", "MED")</f>
        <v>6.6044301959835474</v>
      </c>
      <c r="AY22" t="s">
        <v>200</v>
      </c>
      <c r="AZ22">
        <f>RTD("rtdtrading.rtdserver",, "GFSA3_B_0", "NEG")</f>
        <v>1411</v>
      </c>
      <c r="BA22">
        <f>RTD("rtdtrading.rtdserver",, "GFSA3_B_0", "QUL")</f>
        <v>0</v>
      </c>
      <c r="BB22">
        <f>RTD("rtdtrading.rtdserver",, "GFSA3_B_0", "QTT")</f>
        <v>413300</v>
      </c>
      <c r="BC22">
        <f>RTD("rtdtrading.rtdserver",, "GFSA3_B_0", "VOL")</f>
        <v>2729611</v>
      </c>
      <c r="BD22">
        <f>RTD("rtdtrading.rtdserver",, "GFSA3_B_0", "OCP")</f>
        <v>6.5200000000000005</v>
      </c>
      <c r="BE22">
        <f>RTD("rtdtrading.rtdserver",, "GFSA3_B_0", "OVD")</f>
        <v>6.68</v>
      </c>
      <c r="BF22">
        <f>RTD("rtdtrading.rtdserver",, "GFSA3_B_0", "VOC")</f>
        <v>200</v>
      </c>
      <c r="BG22">
        <f>RTD("rtdtrading.rtdserver",, "GFSA3_B_0", "VOV")</f>
        <v>500</v>
      </c>
      <c r="BH22">
        <f>RTD("rtdtrading.rtdserver",, "GFSA3_B_0", "AJU")</f>
        <v>0</v>
      </c>
      <c r="BI22">
        <f>RTD("rtdtrading.rtdserver",, "GFSA3_B_0", "AJA")</f>
        <v>0</v>
      </c>
      <c r="BJ22">
        <f>RTD("rtdtrading.rtdserver",, "GFSA3_B_0", "PRT")</f>
        <v>0</v>
      </c>
      <c r="BK22">
        <f>RTD("rtdtrading.rtdserver",, "GFSA3_B_0", "QTE")</f>
        <v>0</v>
      </c>
      <c r="BL22">
        <f>RTD("rtdtrading.rtdserver",, "GFSA3_B_0", "VPJ")</f>
        <v>2729611</v>
      </c>
      <c r="BM22">
        <f>RTD("rtdtrading.rtdserver",, "GFSA3_B_0", "SEM")</f>
        <v>-3.0567685589519646</v>
      </c>
      <c r="BN22">
        <f>RTD("rtdtrading.rtdserver",, "GFSA3_B_0", "MES")</f>
        <v>-17.980295566502473</v>
      </c>
      <c r="BO22">
        <f>RTD("rtdtrading.rtdserver",, "GFSA3_B_0", "3M")</f>
        <v>-64</v>
      </c>
      <c r="BP22">
        <f>RTD("rtdtrading.rtdserver",, "GFSA3_B_0", "6M")</f>
        <v>-80.862068965517238</v>
      </c>
      <c r="BQ22">
        <f>RTD("rtdtrading.rtdserver",, "GFSA3_B_0", "12M")</f>
        <v>-82.473684210526315</v>
      </c>
      <c r="BR22">
        <f>RTD("rtdtrading.rtdserver",, "GFSA3_B_0", "ANO")</f>
        <v>-71.779661016949163</v>
      </c>
      <c r="BS22">
        <f>RTD("rtdtrading.rtdserver",, "GFSA3_B_0", "TRIM")</f>
        <v>-17.980295566502473</v>
      </c>
      <c r="BT22">
        <f>RTD("rtdtrading.rtdserver",, "GFSA3_B_0", "SEMES")</f>
        <v>-68.133971291866033</v>
      </c>
      <c r="BU22" t="str">
        <f>RTD("rtdtrading.rtdserver",, "GFSA3_B_0", "VEN")</f>
        <v>-</v>
      </c>
      <c r="BV22" t="str">
        <f>RTD("rtdtrading.rtdserver",, "GFSA3_B_0", "VAL")</f>
        <v>31/12/9999</v>
      </c>
      <c r="BW22">
        <f>RTD("rtdtrading.rtdserver",, "GFSA3_B_0", "CAB")</f>
        <v>0</v>
      </c>
      <c r="BX22" t="str">
        <f>RTD("rtdtrading.rtdserver",, "GFSA3_B_0", "EST")</f>
        <v>Pré-Fechamento</v>
      </c>
      <c r="BY22" t="str">
        <f>RTD("rtdtrading.rtdserver",, "GFSA3_B_0", "BLACK")</f>
        <v>-</v>
      </c>
      <c r="BZ22" t="str">
        <f>RTD("rtdtrading.rtdserver",, "GFSA3_B_0", "IMPVT")</f>
        <v>-</v>
      </c>
      <c r="CA22" t="str">
        <f>RTD("rtdtrading.rtdserver",, "GFSA3_B_0", "DELTA")</f>
        <v>-</v>
      </c>
      <c r="CB22" t="str">
        <f>RTD("rtdtrading.rtdserver",, "GFSA3_B_0", "GAMA")</f>
        <v>-</v>
      </c>
      <c r="CC22" t="str">
        <f>RTD("rtdtrading.rtdserver",, "GFSA3_B_0", "THETA")</f>
        <v>-</v>
      </c>
      <c r="CD22" t="str">
        <f>RTD("rtdtrading.rtdserver",, "GFSA3_B_0", "RHO")</f>
        <v>-</v>
      </c>
      <c r="CE22" t="str">
        <f>RTD("rtdtrading.rtdserver",, "GFSA3_B_0", "VEGA")</f>
        <v>-</v>
      </c>
      <c r="CF22" t="str">
        <f>RTD("rtdtrading.rtdserver",, "GFSA3_B_0", "VIA")</f>
        <v>-</v>
      </c>
      <c r="CG22" t="str">
        <f>RTD("rtdtrading.rtdserver",, "GFSA3_B_0", "VIB")</f>
        <v>-</v>
      </c>
      <c r="CH22" t="str">
        <f>RTD("rtdtrading.rtdserver",, "GFSA3_B_0", "DOBRAR")</f>
        <v>-</v>
      </c>
      <c r="CI22" t="str">
        <f>RTD("rtdtrading.rtdserver",, "GFSA3_B_0", "VIVH")</f>
        <v>-</v>
      </c>
      <c r="CJ22" t="str">
        <f>RTD("rtdtrading.rtdserver",, "GFSA3_B_0", "VINT")</f>
        <v>-</v>
      </c>
      <c r="CK22" t="str">
        <f>RTD("rtdtrading.rtdserver",, "GFSA3_B_0", "VEXT")</f>
        <v>-</v>
      </c>
    </row>
    <row r="23" spans="2:89" x14ac:dyDescent="0.25">
      <c r="B23" t="s">
        <v>201</v>
      </c>
      <c r="C23" t="s">
        <v>202</v>
      </c>
      <c r="D23" t="s">
        <v>142</v>
      </c>
      <c r="E23" s="76">
        <v>1810877718</v>
      </c>
      <c r="F23">
        <v>0.247</v>
      </c>
      <c r="J23" s="3">
        <f>RTD("rtdtrading.rtdserver",, $B23&amp;"_B_0", J$4)</f>
        <v>3.02</v>
      </c>
      <c r="K23" s="3">
        <f>RTD("rtdtrading.rtdserver",, $B23&amp;"_B_0", K$4)</f>
        <v>2.9000000000000004</v>
      </c>
      <c r="L23" s="3">
        <f>RTD("rtdtrading.rtdserver",, $B23&amp;"_B_0", L$4)</f>
        <v>0</v>
      </c>
      <c r="M23" s="3">
        <f t="shared" si="3"/>
        <v>2.9000000000000004</v>
      </c>
      <c r="O23" s="33">
        <f t="shared" si="4"/>
        <v>349.66822366029993</v>
      </c>
      <c r="P23" s="10">
        <f t="shared" si="0"/>
        <v>-3.9735099337748214E-2</v>
      </c>
      <c r="Q23">
        <v>1.8E-5</v>
      </c>
      <c r="R23" s="17">
        <f t="shared" si="5"/>
        <v>-3.9717099337748217E-2</v>
      </c>
      <c r="S23">
        <v>18</v>
      </c>
      <c r="T23" s="10" t="str">
        <f t="shared" si="6"/>
        <v>RADL3</v>
      </c>
      <c r="U23" s="10">
        <f t="shared" si="1"/>
        <v>4.8867372654154643E-3</v>
      </c>
      <c r="V23" t="str">
        <f t="shared" si="7"/>
        <v/>
      </c>
      <c r="W23" s="10" t="str">
        <f t="shared" si="8"/>
        <v>VAMO3</v>
      </c>
      <c r="X23" s="10">
        <f t="shared" si="9"/>
        <v>-1.0160907849829282E-2</v>
      </c>
      <c r="Y23" s="33">
        <f t="shared" si="10"/>
        <v>349.66822366029993</v>
      </c>
      <c r="Z23" s="80">
        <f t="shared" si="11"/>
        <v>0</v>
      </c>
      <c r="AA23" s="2"/>
      <c r="AB23" s="34"/>
      <c r="AC23" s="2"/>
      <c r="AD23" s="2"/>
      <c r="AE23" s="2"/>
      <c r="AF23" s="2"/>
      <c r="AG23" s="2"/>
      <c r="AH23" s="2">
        <f t="shared" ca="1" si="2"/>
        <v>1694.444444444443</v>
      </c>
      <c r="AI23" s="2">
        <v>20</v>
      </c>
      <c r="AJ23" s="2"/>
      <c r="AM23" t="s">
        <v>197</v>
      </c>
      <c r="AN23" t="str">
        <f>RTD("rtdtrading.rtdserver",, "CMIG4_B_0", "DAT")</f>
        <v>14/10/2025</v>
      </c>
      <c r="AO23" t="str">
        <f>RTD("rtdtrading.rtdserver",, "CMIG4_B_0", "HOR")</f>
        <v>17:43:56</v>
      </c>
      <c r="AP23">
        <f>RTD("rtdtrading.rtdserver",, "CMIG4_B_0", "ULT")</f>
        <v>10.72</v>
      </c>
      <c r="AQ23">
        <f>RTD("rtdtrading.rtdserver",, "CMIG4_B_0", "ABE")</f>
        <v>10.7</v>
      </c>
      <c r="AR23">
        <f>RTD("rtdtrading.rtdserver",, "CMIG4_B_0", "MAX")</f>
        <v>10.83</v>
      </c>
      <c r="AS23">
        <f>RTD("rtdtrading.rtdserver",, "CMIG4_B_0", "MIN")</f>
        <v>10.66</v>
      </c>
      <c r="AT23">
        <f>RTD("rtdtrading.rtdserver",, "CMIG4_B_0", "FEC")</f>
        <v>10.68</v>
      </c>
      <c r="AU23">
        <f>RTD("rtdtrading.rtdserver",, "CMIG4_B_0", "PEX")</f>
        <v>0</v>
      </c>
      <c r="AV23">
        <f>RTD("rtdtrading.rtdserver",, "CMIG4_B_0", "VAR")</f>
        <v>0.3745318352060012</v>
      </c>
      <c r="AW23">
        <f>RTD("rtdtrading.rtdserver",, "CMIG4_B_0", "VARPTS")</f>
        <v>4.0000000000000924E-2</v>
      </c>
      <c r="AX23">
        <f>RTD("rtdtrading.rtdserver",, "CMIG4_B_0", "MED")</f>
        <v>10.761893446088795</v>
      </c>
      <c r="AY23" t="s">
        <v>203</v>
      </c>
      <c r="AZ23">
        <f>RTD("rtdtrading.rtdserver",, "CMIG4_B_0", "NEG")</f>
        <v>12495</v>
      </c>
      <c r="BA23">
        <f>RTD("rtdtrading.rtdserver",, "CMIG4_B_0", "QUL")</f>
        <v>0</v>
      </c>
      <c r="BB23">
        <f>RTD("rtdtrading.rtdserver",, "CMIG4_B_0", "QTT")</f>
        <v>7095000</v>
      </c>
      <c r="BC23">
        <f>RTD("rtdtrading.rtdserver",, "CMIG4_B_0", "VOL")</f>
        <v>76355634</v>
      </c>
      <c r="BD23">
        <f>RTD("rtdtrading.rtdserver",, "CMIG4_B_0", "OCP")</f>
        <v>10.72</v>
      </c>
      <c r="BE23">
        <f>RTD("rtdtrading.rtdserver",, "CMIG4_B_0", "OVD")</f>
        <v>10.82</v>
      </c>
      <c r="BF23">
        <f>RTD("rtdtrading.rtdserver",, "CMIG4_B_0", "VOC")</f>
        <v>100</v>
      </c>
      <c r="BG23">
        <f>RTD("rtdtrading.rtdserver",, "CMIG4_B_0", "VOV")</f>
        <v>100</v>
      </c>
      <c r="BH23">
        <f>RTD("rtdtrading.rtdserver",, "CMIG4_B_0", "AJU")</f>
        <v>0</v>
      </c>
      <c r="BI23">
        <f>RTD("rtdtrading.rtdserver",, "CMIG4_B_0", "AJA")</f>
        <v>0</v>
      </c>
      <c r="BJ23">
        <f>RTD("rtdtrading.rtdserver",, "CMIG4_B_0", "PRT")</f>
        <v>0</v>
      </c>
      <c r="BK23">
        <f>RTD("rtdtrading.rtdserver",, "CMIG4_B_0", "QTE")</f>
        <v>0</v>
      </c>
      <c r="BL23">
        <f>RTD("rtdtrading.rtdserver",, "CMIG4_B_0", "VPJ")</f>
        <v>76355634</v>
      </c>
      <c r="BM23">
        <f>RTD("rtdtrading.rtdserver",, "CMIG4_B_0", "SEM")</f>
        <v>1.4191106906338729</v>
      </c>
      <c r="BN23">
        <f>RTD("rtdtrading.rtdserver",, "CMIG4_B_0", "MES")</f>
        <v>-3.8565022421524637</v>
      </c>
      <c r="BO23">
        <f>RTD("rtdtrading.rtdserver",, "CMIG4_B_0", "3M")</f>
        <v>2.1906160035080449</v>
      </c>
      <c r="BP23">
        <f>RTD("rtdtrading.rtdserver",, "CMIG4_B_0", "6M")</f>
        <v>16.573690449004456</v>
      </c>
      <c r="BQ23">
        <f>RTD("rtdtrading.rtdserver",, "CMIG4_B_0", "12M")</f>
        <v>10.240431089446957</v>
      </c>
      <c r="BR23">
        <f>RTD("rtdtrading.rtdserver",, "CMIG4_B_0", "ANO")</f>
        <v>7.7073013895447655</v>
      </c>
      <c r="BS23">
        <f>RTD("rtdtrading.rtdserver",, "CMIG4_B_0", "TRIM")</f>
        <v>-3.8565022421524637</v>
      </c>
      <c r="BT23">
        <f>RTD("rtdtrading.rtdserver",, "CMIG4_B_0", "SEMES")</f>
        <v>0.86563793752352769</v>
      </c>
      <c r="BU23" t="str">
        <f>RTD("rtdtrading.rtdserver",, "CMIG4_B_0", "VEN")</f>
        <v>-</v>
      </c>
      <c r="BV23" t="str">
        <f>RTD("rtdtrading.rtdserver",, "CMIG4_B_0", "VAL")</f>
        <v>31/12/9999</v>
      </c>
      <c r="BW23">
        <f>RTD("rtdtrading.rtdserver",, "CMIG4_B_0", "CAB")</f>
        <v>0</v>
      </c>
      <c r="BX23" t="str">
        <f>RTD("rtdtrading.rtdserver",, "CMIG4_B_0", "EST")</f>
        <v>Pré-Fechamento</v>
      </c>
      <c r="BY23" t="str">
        <f>RTD("rtdtrading.rtdserver",, "CMIG4_B_0", "BLACK")</f>
        <v>-</v>
      </c>
      <c r="BZ23" t="str">
        <f>RTD("rtdtrading.rtdserver",, "CMIG4_B_0", "IMPVT")</f>
        <v>-</v>
      </c>
      <c r="CA23" t="str">
        <f>RTD("rtdtrading.rtdserver",, "CMIG4_B_0", "DELTA")</f>
        <v>-</v>
      </c>
      <c r="CB23" t="str">
        <f>RTD("rtdtrading.rtdserver",, "CMIG4_B_0", "GAMA")</f>
        <v>-</v>
      </c>
      <c r="CC23" t="str">
        <f>RTD("rtdtrading.rtdserver",, "CMIG4_B_0", "THETA")</f>
        <v>-</v>
      </c>
      <c r="CD23" t="str">
        <f>RTD("rtdtrading.rtdserver",, "CMIG4_B_0", "RHO")</f>
        <v>-</v>
      </c>
      <c r="CE23" t="str">
        <f>RTD("rtdtrading.rtdserver",, "CMIG4_B_0", "VEGA")</f>
        <v>-</v>
      </c>
      <c r="CF23" t="str">
        <f>RTD("rtdtrading.rtdserver",, "CMIG4_B_0", "VIA")</f>
        <v>-</v>
      </c>
      <c r="CG23" t="str">
        <f>RTD("rtdtrading.rtdserver",, "CMIG4_B_0", "VIB")</f>
        <v>-</v>
      </c>
      <c r="CH23" t="str">
        <f>RTD("rtdtrading.rtdserver",, "CMIG4_B_0", "DOBRAR")</f>
        <v>-</v>
      </c>
      <c r="CI23" t="str">
        <f>RTD("rtdtrading.rtdserver",, "CMIG4_B_0", "VIVH")</f>
        <v>-</v>
      </c>
      <c r="CJ23" t="str">
        <f>RTD("rtdtrading.rtdserver",, "CMIG4_B_0", "VINT")</f>
        <v>-</v>
      </c>
      <c r="CK23" t="str">
        <f>RTD("rtdtrading.rtdserver",, "CMIG4_B_0", "VEXT")</f>
        <v>-</v>
      </c>
    </row>
    <row r="24" spans="2:89" x14ac:dyDescent="0.25">
      <c r="B24" t="s">
        <v>204</v>
      </c>
      <c r="C24" t="s">
        <v>205</v>
      </c>
      <c r="D24" t="s">
        <v>206</v>
      </c>
      <c r="E24" s="76">
        <v>1671982390</v>
      </c>
      <c r="F24">
        <v>0.98</v>
      </c>
      <c r="J24" s="3">
        <f>RTD("rtdtrading.rtdserver",, $B24&amp;"_B_0", J$4)</f>
        <v>12.51</v>
      </c>
      <c r="K24" s="3">
        <f>RTD("rtdtrading.rtdserver",, $B24&amp;"_B_0", K$4)</f>
        <v>12.47</v>
      </c>
      <c r="L24" s="3">
        <f>RTD("rtdtrading.rtdserver",, $B24&amp;"_B_0", L$4)</f>
        <v>0</v>
      </c>
      <c r="M24" s="3">
        <f t="shared" si="3"/>
        <v>12.47</v>
      </c>
      <c r="O24" s="33">
        <f t="shared" si="4"/>
        <v>1388.2484487564896</v>
      </c>
      <c r="P24" s="10">
        <f t="shared" si="0"/>
        <v>-3.1974420463628528E-3</v>
      </c>
      <c r="Q24">
        <v>1.9000000000000001E-5</v>
      </c>
      <c r="R24" s="17">
        <f t="shared" si="5"/>
        <v>-3.1784420463628529E-3</v>
      </c>
      <c r="S24">
        <v>19</v>
      </c>
      <c r="T24" s="10" t="str">
        <f t="shared" si="6"/>
        <v>CSNA3</v>
      </c>
      <c r="U24" s="10">
        <f t="shared" si="1"/>
        <v>4.8232425683711498E-3</v>
      </c>
      <c r="V24" t="str">
        <f t="shared" si="7"/>
        <v/>
      </c>
      <c r="W24" s="10" t="str">
        <f t="shared" si="8"/>
        <v>IRBR3</v>
      </c>
      <c r="X24" s="10">
        <f t="shared" si="9"/>
        <v>-9.1186794462193976E-3</v>
      </c>
      <c r="Y24" s="33">
        <f t="shared" si="10"/>
        <v>1388.2484487564896</v>
      </c>
      <c r="Z24" s="80">
        <f t="shared" si="11"/>
        <v>0</v>
      </c>
      <c r="AA24" s="2"/>
      <c r="AB24" s="34"/>
      <c r="AC24" s="2"/>
      <c r="AD24" s="2"/>
      <c r="AE24" s="2"/>
      <c r="AF24" s="2"/>
      <c r="AG24" s="2"/>
      <c r="AH24" s="2">
        <f t="shared" ca="1" si="2"/>
        <v>1626.6666666666652</v>
      </c>
      <c r="AI24" s="2">
        <v>21</v>
      </c>
      <c r="AJ24" s="2"/>
      <c r="AM24" t="s">
        <v>207</v>
      </c>
      <c r="AN24" t="str">
        <f>RTD("rtdtrading.rtdserver",, "RENT3_B_0", "DAT")</f>
        <v>14/10/2025</v>
      </c>
      <c r="AO24" t="str">
        <f>RTD("rtdtrading.rtdserver",, "RENT3_B_0", "HOR")</f>
        <v>17:07:31</v>
      </c>
      <c r="AP24">
        <f>RTD("rtdtrading.rtdserver",, "RENT3_B_0", "ULT")</f>
        <v>35.870000000000005</v>
      </c>
      <c r="AQ24">
        <f>RTD("rtdtrading.rtdserver",, "RENT3_B_0", "ABE")</f>
        <v>35.79</v>
      </c>
      <c r="AR24">
        <f>RTD("rtdtrading.rtdserver",, "RENT3_B_0", "MAX")</f>
        <v>36.450000000000003</v>
      </c>
      <c r="AS24">
        <f>RTD("rtdtrading.rtdserver",, "RENT3_B_0", "MIN")</f>
        <v>35.659999999999997</v>
      </c>
      <c r="AT24">
        <f>RTD("rtdtrading.rtdserver",, "RENT3_B_0", "FEC")</f>
        <v>36.14</v>
      </c>
      <c r="AU24">
        <f>RTD("rtdtrading.rtdserver",, "RENT3_B_0", "PEX")</f>
        <v>0</v>
      </c>
      <c r="AV24">
        <f>RTD("rtdtrading.rtdserver",, "RENT3_B_0", "VAR")</f>
        <v>-0.74709463198670734</v>
      </c>
      <c r="AW24">
        <f>RTD("rtdtrading.rtdserver",, "RENT3_B_0", "VARPTS")</f>
        <v>-0.26999999999999602</v>
      </c>
      <c r="AX24">
        <f>RTD("rtdtrading.rtdserver",, "RENT3_B_0", "MED")</f>
        <v>36.02100852959898</v>
      </c>
      <c r="AY24" t="s">
        <v>208</v>
      </c>
      <c r="AZ24">
        <f>RTD("rtdtrading.rtdserver",, "RENT3_B_0", "NEG")</f>
        <v>13250</v>
      </c>
      <c r="BA24">
        <f>RTD("rtdtrading.rtdserver",, "RENT3_B_0", "QUL")</f>
        <v>0</v>
      </c>
      <c r="BB24">
        <f>RTD("rtdtrading.rtdserver",, "RENT3_B_0", "QTT")</f>
        <v>3927500</v>
      </c>
      <c r="BC24">
        <f>RTD("rtdtrading.rtdserver",, "RENT3_B_0", "VOL")</f>
        <v>141472511</v>
      </c>
      <c r="BD24">
        <f>RTD("rtdtrading.rtdserver",, "RENT3_B_0", "OCP")</f>
        <v>35.6</v>
      </c>
      <c r="BE24">
        <f>RTD("rtdtrading.rtdserver",, "RENT3_B_0", "OVD")</f>
        <v>36.17</v>
      </c>
      <c r="BF24">
        <f>RTD("rtdtrading.rtdserver",, "RENT3_B_0", "VOC")</f>
        <v>600</v>
      </c>
      <c r="BG24">
        <f>RTD("rtdtrading.rtdserver",, "RENT3_B_0", "VOV")</f>
        <v>600</v>
      </c>
      <c r="BH24">
        <f>RTD("rtdtrading.rtdserver",, "RENT3_B_0", "AJU")</f>
        <v>0</v>
      </c>
      <c r="BI24">
        <f>RTD("rtdtrading.rtdserver",, "RENT3_B_0", "AJA")</f>
        <v>0</v>
      </c>
      <c r="BJ24">
        <f>RTD("rtdtrading.rtdserver",, "RENT3_B_0", "PRT")</f>
        <v>0</v>
      </c>
      <c r="BK24">
        <f>RTD("rtdtrading.rtdserver",, "RENT3_B_0", "QTE")</f>
        <v>0</v>
      </c>
      <c r="BL24">
        <f>RTD("rtdtrading.rtdserver",, "RENT3_B_0", "VPJ")</f>
        <v>141472511</v>
      </c>
      <c r="BM24">
        <f>RTD("rtdtrading.rtdserver",, "RENT3_B_0", "SEM")</f>
        <v>0.19553072625698403</v>
      </c>
      <c r="BN24">
        <f>RTD("rtdtrading.rtdserver",, "RENT3_B_0", "MES")</f>
        <v>-9.0747782002534798</v>
      </c>
      <c r="BO24">
        <f>RTD("rtdtrading.rtdserver",, "RENT3_B_0", "3M")</f>
        <v>-0.53572616961333808</v>
      </c>
      <c r="BP24">
        <f>RTD("rtdtrading.rtdserver",, "RENT3_B_0", "6M")</f>
        <v>-4.9685524593725301</v>
      </c>
      <c r="BQ24">
        <f>RTD("rtdtrading.rtdserver",, "RENT3_B_0", "12M")</f>
        <v>-9.8603300011559583</v>
      </c>
      <c r="BR24">
        <f>RTD("rtdtrading.rtdserver",, "RENT3_B_0", "ANO")</f>
        <v>15.113685595545649</v>
      </c>
      <c r="BS24">
        <f>RTD("rtdtrading.rtdserver",, "RENT3_B_0", "TRIM")</f>
        <v>-9.0747782002534798</v>
      </c>
      <c r="BT24">
        <f>RTD("rtdtrading.rtdserver",, "RENT3_B_0", "SEMES")</f>
        <v>-10.501759025923791</v>
      </c>
      <c r="BU24" t="str">
        <f>RTD("rtdtrading.rtdserver",, "RENT3_B_0", "VEN")</f>
        <v>-</v>
      </c>
      <c r="BV24" t="str">
        <f>RTD("rtdtrading.rtdserver",, "RENT3_B_0", "VAL")</f>
        <v>31/12/9999</v>
      </c>
      <c r="BW24">
        <f>RTD("rtdtrading.rtdserver",, "RENT3_B_0", "CAB")</f>
        <v>0</v>
      </c>
      <c r="BX24" t="str">
        <f>RTD("rtdtrading.rtdserver",, "RENT3_B_0", "EST")</f>
        <v>Pré-Fechamento</v>
      </c>
      <c r="BY24" t="str">
        <f>RTD("rtdtrading.rtdserver",, "RENT3_B_0", "BLACK")</f>
        <v>-</v>
      </c>
      <c r="BZ24" t="str">
        <f>RTD("rtdtrading.rtdserver",, "RENT3_B_0", "IMPVT")</f>
        <v>-</v>
      </c>
      <c r="CA24" t="str">
        <f>RTD("rtdtrading.rtdserver",, "RENT3_B_0", "DELTA")</f>
        <v>-</v>
      </c>
      <c r="CB24" t="str">
        <f>RTD("rtdtrading.rtdserver",, "RENT3_B_0", "GAMA")</f>
        <v>-</v>
      </c>
      <c r="CC24" t="str">
        <f>RTD("rtdtrading.rtdserver",, "RENT3_B_0", "THETA")</f>
        <v>-</v>
      </c>
      <c r="CD24" t="str">
        <f>RTD("rtdtrading.rtdserver",, "RENT3_B_0", "RHO")</f>
        <v>-</v>
      </c>
      <c r="CE24" t="str">
        <f>RTD("rtdtrading.rtdserver",, "RENT3_B_0", "VEGA")</f>
        <v>-</v>
      </c>
      <c r="CF24" t="str">
        <f>RTD("rtdtrading.rtdserver",, "RENT3_B_0", "VIA")</f>
        <v>-</v>
      </c>
      <c r="CG24" t="str">
        <f>RTD("rtdtrading.rtdserver",, "RENT3_B_0", "VIB")</f>
        <v>-</v>
      </c>
      <c r="CH24" t="str">
        <f>RTD("rtdtrading.rtdserver",, "RENT3_B_0", "DOBRAR")</f>
        <v>-</v>
      </c>
      <c r="CI24" t="str">
        <f>RTD("rtdtrading.rtdserver",, "RENT3_B_0", "VIVH")</f>
        <v>-</v>
      </c>
      <c r="CJ24" t="str">
        <f>RTD("rtdtrading.rtdserver",, "RENT3_B_0", "VINT")</f>
        <v>-</v>
      </c>
      <c r="CK24" t="str">
        <f>RTD("rtdtrading.rtdserver",, "RENT3_B_0", "VEXT")</f>
        <v>-</v>
      </c>
    </row>
    <row r="25" spans="2:89" x14ac:dyDescent="0.25">
      <c r="B25" t="s">
        <v>209</v>
      </c>
      <c r="C25" t="s">
        <v>210</v>
      </c>
      <c r="D25" t="s">
        <v>142</v>
      </c>
      <c r="E25" s="76">
        <v>1148010756</v>
      </c>
      <c r="F25">
        <v>0.317</v>
      </c>
      <c r="J25" s="3">
        <f>RTD("rtdtrading.rtdserver",, $B25&amp;"_B_0", J$4)</f>
        <v>5.87</v>
      </c>
      <c r="K25" s="3">
        <f>RTD("rtdtrading.rtdserver",, $B25&amp;"_B_0", K$4)</f>
        <v>5.88</v>
      </c>
      <c r="L25" s="3">
        <f>RTD("rtdtrading.rtdserver",, $B25&amp;"_B_0", L$4)</f>
        <v>0</v>
      </c>
      <c r="M25" s="3">
        <f t="shared" si="3"/>
        <v>5.88</v>
      </c>
      <c r="O25" s="33">
        <f t="shared" si="4"/>
        <v>449.46132484084148</v>
      </c>
      <c r="P25" s="10">
        <f t="shared" si="0"/>
        <v>1.7035775127767216E-3</v>
      </c>
      <c r="Q25">
        <v>2.0000000000000002E-5</v>
      </c>
      <c r="R25" s="17">
        <f t="shared" si="5"/>
        <v>1.7235775127767217E-3</v>
      </c>
      <c r="S25">
        <v>20</v>
      </c>
      <c r="T25" s="10" t="str">
        <f t="shared" si="6"/>
        <v>ITUB4</v>
      </c>
      <c r="U25" s="10">
        <f t="shared" si="1"/>
        <v>4.3336945561813622E-3</v>
      </c>
      <c r="V25" t="str">
        <f t="shared" si="7"/>
        <v/>
      </c>
      <c r="W25" s="10" t="str">
        <f t="shared" si="8"/>
        <v>BBAS3</v>
      </c>
      <c r="X25" s="10">
        <f t="shared" si="9"/>
        <v>-8.609689655172597E-3</v>
      </c>
      <c r="Y25" s="33">
        <f t="shared" si="10"/>
        <v>449.46132484084148</v>
      </c>
      <c r="Z25" s="80">
        <f t="shared" si="11"/>
        <v>0</v>
      </c>
      <c r="AA25" s="2"/>
      <c r="AB25" s="34"/>
      <c r="AC25" s="2"/>
      <c r="AD25" s="2"/>
      <c r="AE25" s="2"/>
      <c r="AF25" s="2"/>
      <c r="AG25" s="2"/>
      <c r="AH25" s="2">
        <f t="shared" ca="1" si="2"/>
        <v>1558.8888888888873</v>
      </c>
      <c r="AI25" s="2">
        <v>22</v>
      </c>
      <c r="AJ25" s="2"/>
      <c r="AM25" t="s">
        <v>211</v>
      </c>
      <c r="AN25" t="str">
        <f>RTD("rtdtrading.rtdserver",, "SUZB3_B_0", "DAT")</f>
        <v>14/10/2025</v>
      </c>
      <c r="AO25" t="str">
        <f>RTD("rtdtrading.rtdserver",, "SUZB3_B_0", "HOR")</f>
        <v>17:07:32</v>
      </c>
      <c r="AP25">
        <f>RTD("rtdtrading.rtdserver",, "SUZB3_B_0", "ULT")</f>
        <v>47.99</v>
      </c>
      <c r="AQ25">
        <f>RTD("rtdtrading.rtdserver",, "SUZB3_B_0", "ABE")</f>
        <v>48.1</v>
      </c>
      <c r="AR25">
        <f>RTD("rtdtrading.rtdserver",, "SUZB3_B_0", "MAX")</f>
        <v>48.42</v>
      </c>
      <c r="AS25">
        <f>RTD("rtdtrading.rtdserver",, "SUZB3_B_0", "MIN")</f>
        <v>47.95</v>
      </c>
      <c r="AT25">
        <f>RTD("rtdtrading.rtdserver",, "SUZB3_B_0", "FEC")</f>
        <v>48.21</v>
      </c>
      <c r="AU25">
        <f>RTD("rtdtrading.rtdserver",, "SUZB3_B_0", "PEX")</f>
        <v>0</v>
      </c>
      <c r="AV25">
        <f>RTD("rtdtrading.rtdserver",, "SUZB3_B_0", "VAR")</f>
        <v>-0.45633685957270043</v>
      </c>
      <c r="AW25">
        <f>RTD("rtdtrading.rtdserver",, "SUZB3_B_0", "VARPTS")</f>
        <v>-0.21999999999999886</v>
      </c>
      <c r="AX25">
        <f>RTD("rtdtrading.rtdserver",, "SUZB3_B_0", "MED")</f>
        <v>48.097068084132353</v>
      </c>
      <c r="AY25" t="s">
        <v>212</v>
      </c>
      <c r="AZ25">
        <f>RTD("rtdtrading.rtdserver",, "SUZB3_B_0", "NEG")</f>
        <v>12189</v>
      </c>
      <c r="BA25">
        <f>RTD("rtdtrading.rtdserver",, "SUZB3_B_0", "QUL")</f>
        <v>0</v>
      </c>
      <c r="BB25">
        <f>RTD("rtdtrading.rtdserver",, "SUZB3_B_0", "QTT")</f>
        <v>3931900</v>
      </c>
      <c r="BC25">
        <f>RTD("rtdtrading.rtdserver",, "SUZB3_B_0", "VOL")</f>
        <v>189112862</v>
      </c>
      <c r="BD25">
        <f>RTD("rtdtrading.rtdserver",, "SUZB3_B_0", "OCP")</f>
        <v>47.81</v>
      </c>
      <c r="BE25">
        <f>RTD("rtdtrading.rtdserver",, "SUZB3_B_0", "OVD")</f>
        <v>48.1</v>
      </c>
      <c r="BF25">
        <f>RTD("rtdtrading.rtdserver",, "SUZB3_B_0", "VOC")</f>
        <v>100</v>
      </c>
      <c r="BG25">
        <f>RTD("rtdtrading.rtdserver",, "SUZB3_B_0", "VOV")</f>
        <v>800</v>
      </c>
      <c r="BH25">
        <f>RTD("rtdtrading.rtdserver",, "SUZB3_B_0", "AJU")</f>
        <v>0</v>
      </c>
      <c r="BI25">
        <f>RTD("rtdtrading.rtdserver",, "SUZB3_B_0", "AJA")</f>
        <v>0</v>
      </c>
      <c r="BJ25">
        <f>RTD("rtdtrading.rtdserver",, "SUZB3_B_0", "PRT")</f>
        <v>0</v>
      </c>
      <c r="BK25">
        <f>RTD("rtdtrading.rtdserver",, "SUZB3_B_0", "QTE")</f>
        <v>0</v>
      </c>
      <c r="BL25">
        <f>RTD("rtdtrading.rtdserver",, "SUZB3_B_0", "VPJ")</f>
        <v>189112862</v>
      </c>
      <c r="BM25">
        <f>RTD("rtdtrading.rtdserver",, "SUZB3_B_0", "SEM")</f>
        <v>-0.41502386387217854</v>
      </c>
      <c r="BN25">
        <f>RTD("rtdtrading.rtdserver",, "SUZB3_B_0", "MES")</f>
        <v>-3.8276553106212496</v>
      </c>
      <c r="BO25">
        <f>RTD("rtdtrading.rtdserver",, "SUZB3_B_0", "3M")</f>
        <v>-3.9239239239239256</v>
      </c>
      <c r="BP25">
        <f>RTD("rtdtrading.rtdserver",, "SUZB3_B_0", "6M")</f>
        <v>-7.0681642137877585</v>
      </c>
      <c r="BQ25">
        <f>RTD("rtdtrading.rtdserver",, "SUZB3_B_0", "12M")</f>
        <v>-9.0149000187695858</v>
      </c>
      <c r="BR25">
        <f>RTD("rtdtrading.rtdserver",, "SUZB3_B_0", "ANO")</f>
        <v>-22.321139527355129</v>
      </c>
      <c r="BS25">
        <f>RTD("rtdtrading.rtdserver",, "SUZB3_B_0", "TRIM")</f>
        <v>-3.8276553106212496</v>
      </c>
      <c r="BT25">
        <f>RTD("rtdtrading.rtdserver",, "SUZB3_B_0", "SEMES")</f>
        <v>-6.2878344073423129</v>
      </c>
      <c r="BU25" t="str">
        <f>RTD("rtdtrading.rtdserver",, "SUZB3_B_0", "VEN")</f>
        <v>-</v>
      </c>
      <c r="BV25" t="str">
        <f>RTD("rtdtrading.rtdserver",, "SUZB3_B_0", "VAL")</f>
        <v>31/12/9999</v>
      </c>
      <c r="BW25">
        <f>RTD("rtdtrading.rtdserver",, "SUZB3_B_0", "CAB")</f>
        <v>0</v>
      </c>
      <c r="BX25" t="str">
        <f>RTD("rtdtrading.rtdserver",, "SUZB3_B_0", "EST")</f>
        <v>Pré-Fechamento</v>
      </c>
      <c r="BY25" t="str">
        <f>RTD("rtdtrading.rtdserver",, "SUZB3_B_0", "BLACK")</f>
        <v>-</v>
      </c>
      <c r="BZ25" t="str">
        <f>RTD("rtdtrading.rtdserver",, "SUZB3_B_0", "IMPVT")</f>
        <v>-</v>
      </c>
      <c r="CA25" t="str">
        <f>RTD("rtdtrading.rtdserver",, "SUZB3_B_0", "DELTA")</f>
        <v>-</v>
      </c>
      <c r="CB25" t="str">
        <f>RTD("rtdtrading.rtdserver",, "SUZB3_B_0", "GAMA")</f>
        <v>-</v>
      </c>
      <c r="CC25" t="str">
        <f>RTD("rtdtrading.rtdserver",, "SUZB3_B_0", "THETA")</f>
        <v>-</v>
      </c>
      <c r="CD25" t="str">
        <f>RTD("rtdtrading.rtdserver",, "SUZB3_B_0", "RHO")</f>
        <v>-</v>
      </c>
      <c r="CE25" t="str">
        <f>RTD("rtdtrading.rtdserver",, "SUZB3_B_0", "VEGA")</f>
        <v>-</v>
      </c>
      <c r="CF25" t="str">
        <f>RTD("rtdtrading.rtdserver",, "SUZB3_B_0", "VIA")</f>
        <v>-</v>
      </c>
      <c r="CG25" t="str">
        <f>RTD("rtdtrading.rtdserver",, "SUZB3_B_0", "VIB")</f>
        <v>-</v>
      </c>
      <c r="CH25" t="str">
        <f>RTD("rtdtrading.rtdserver",, "SUZB3_B_0", "DOBRAR")</f>
        <v>-</v>
      </c>
      <c r="CI25" t="str">
        <f>RTD("rtdtrading.rtdserver",, "SUZB3_B_0", "VIVH")</f>
        <v>-</v>
      </c>
      <c r="CJ25" t="str">
        <f>RTD("rtdtrading.rtdserver",, "SUZB3_B_0", "VINT")</f>
        <v>-</v>
      </c>
      <c r="CK25" t="str">
        <f>RTD("rtdtrading.rtdserver",, "SUZB3_B_0", "VEXT")</f>
        <v>-</v>
      </c>
    </row>
    <row r="26" spans="2:89" x14ac:dyDescent="0.25">
      <c r="B26" t="s">
        <v>213</v>
      </c>
      <c r="C26" t="s">
        <v>214</v>
      </c>
      <c r="D26" t="s">
        <v>142</v>
      </c>
      <c r="E26" s="76">
        <v>187732538</v>
      </c>
      <c r="F26">
        <v>0.34300000000000003</v>
      </c>
      <c r="J26" s="3">
        <f>RTD("rtdtrading.rtdserver",, $B26&amp;"_B_0", J$4)</f>
        <v>38.36</v>
      </c>
      <c r="K26" s="3">
        <f>RTD("rtdtrading.rtdserver",, $B26&amp;"_B_0", K$4)</f>
        <v>38.81</v>
      </c>
      <c r="L26" s="3">
        <f>RTD("rtdtrading.rtdserver",, $B26&amp;"_B_0", L$4)</f>
        <v>0</v>
      </c>
      <c r="M26" s="3">
        <f t="shared" si="3"/>
        <v>38.81</v>
      </c>
      <c r="O26" s="33">
        <f t="shared" si="4"/>
        <v>485.12341707856211</v>
      </c>
      <c r="P26" s="10">
        <f t="shared" si="0"/>
        <v>1.1730969760166854E-2</v>
      </c>
      <c r="Q26">
        <v>2.0999999999999999E-5</v>
      </c>
      <c r="R26" s="17">
        <f t="shared" si="5"/>
        <v>1.1751969760166854E-2</v>
      </c>
      <c r="S26">
        <v>21</v>
      </c>
      <c r="T26" s="10" t="str">
        <f t="shared" si="6"/>
        <v>SMFT3</v>
      </c>
      <c r="U26" s="10">
        <f t="shared" si="1"/>
        <v>4.1406612377849067E-3</v>
      </c>
      <c r="V26" t="str">
        <f t="shared" si="7"/>
        <v/>
      </c>
      <c r="W26" s="10" t="str">
        <f t="shared" si="8"/>
        <v>ELET6</v>
      </c>
      <c r="X26" s="10">
        <f t="shared" si="9"/>
        <v>-8.3341159789128982E-3</v>
      </c>
      <c r="Y26" s="33">
        <f t="shared" si="10"/>
        <v>485.12341707856211</v>
      </c>
      <c r="Z26" s="80">
        <f t="shared" si="11"/>
        <v>0</v>
      </c>
      <c r="AA26" s="2"/>
      <c r="AB26" s="34"/>
      <c r="AC26" s="2"/>
      <c r="AD26" s="2"/>
      <c r="AE26" s="2"/>
      <c r="AF26" s="2"/>
      <c r="AG26" s="2"/>
      <c r="AH26" s="2">
        <f t="shared" ca="1" si="2"/>
        <v>1491.1111111111095</v>
      </c>
      <c r="AI26" s="2">
        <v>23</v>
      </c>
      <c r="AJ26" s="2"/>
      <c r="AM26" t="s">
        <v>215</v>
      </c>
      <c r="AN26" t="str">
        <f>RTD("rtdtrading.rtdserver",, "EMBR3_B_0", "DAT")</f>
        <v>14/10/2025</v>
      </c>
      <c r="AO26" t="str">
        <f>RTD("rtdtrading.rtdserver",, "EMBR3_B_0", "HOR")</f>
        <v>17:07:41</v>
      </c>
      <c r="AP26">
        <f>RTD("rtdtrading.rtdserver",, "EMBR3_B_0", "ULT")</f>
        <v>82.65</v>
      </c>
      <c r="AQ26">
        <f>RTD("rtdtrading.rtdserver",, "EMBR3_B_0", "ABE")</f>
        <v>79.11</v>
      </c>
      <c r="AR26">
        <f>RTD("rtdtrading.rtdserver",, "EMBR3_B_0", "MAX")</f>
        <v>82.66</v>
      </c>
      <c r="AS26">
        <f>RTD("rtdtrading.rtdserver",, "EMBR3_B_0", "MIN")</f>
        <v>78.95</v>
      </c>
      <c r="AT26">
        <f>RTD("rtdtrading.rtdserver",, "EMBR3_B_0", "FEC")</f>
        <v>78.8</v>
      </c>
      <c r="AU26">
        <f>RTD("rtdtrading.rtdserver",, "EMBR3_B_0", "PEX")</f>
        <v>0</v>
      </c>
      <c r="AV26">
        <f>RTD("rtdtrading.rtdserver",, "EMBR3_B_0", "VAR")</f>
        <v>4.8857868020304682</v>
      </c>
      <c r="AW26">
        <f>RTD("rtdtrading.rtdserver",, "EMBR3_B_0", "VARPTS")</f>
        <v>3.8500000000000085</v>
      </c>
      <c r="AX26">
        <f>RTD("rtdtrading.rtdserver",, "EMBR3_B_0", "MED")</f>
        <v>81.353820848552971</v>
      </c>
      <c r="AY26" t="s">
        <v>216</v>
      </c>
      <c r="AZ26">
        <f>RTD("rtdtrading.rtdserver",, "EMBR3_B_0", "NEG")</f>
        <v>36618</v>
      </c>
      <c r="BA26">
        <f>RTD("rtdtrading.rtdserver",, "EMBR3_B_0", "QUL")</f>
        <v>0</v>
      </c>
      <c r="BB26">
        <f>RTD("rtdtrading.rtdserver",, "EMBR3_B_0", "QTT")</f>
        <v>8897500</v>
      </c>
      <c r="BC26">
        <f>RTD("rtdtrading.rtdserver",, "EMBR3_B_0", "VOL")</f>
        <v>723845621</v>
      </c>
      <c r="BD26">
        <f>RTD("rtdtrading.rtdserver",, "EMBR3_B_0", "OCP")</f>
        <v>82.23</v>
      </c>
      <c r="BE26">
        <f>RTD("rtdtrading.rtdserver",, "EMBR3_B_0", "OVD")</f>
        <v>82.7</v>
      </c>
      <c r="BF26">
        <f>RTD("rtdtrading.rtdserver",, "EMBR3_B_0", "VOC")</f>
        <v>100</v>
      </c>
      <c r="BG26">
        <f>RTD("rtdtrading.rtdserver",, "EMBR3_B_0", "VOV")</f>
        <v>1800</v>
      </c>
      <c r="BH26">
        <f>RTD("rtdtrading.rtdserver",, "EMBR3_B_0", "AJU")</f>
        <v>0</v>
      </c>
      <c r="BI26">
        <f>RTD("rtdtrading.rtdserver",, "EMBR3_B_0", "AJA")</f>
        <v>0</v>
      </c>
      <c r="BJ26">
        <f>RTD("rtdtrading.rtdserver",, "EMBR3_B_0", "PRT")</f>
        <v>0</v>
      </c>
      <c r="BK26">
        <f>RTD("rtdtrading.rtdserver",, "EMBR3_B_0", "QTE")</f>
        <v>0</v>
      </c>
      <c r="BL26">
        <f>RTD("rtdtrading.rtdserver",, "EMBR3_B_0", "VPJ")</f>
        <v>723845621</v>
      </c>
      <c r="BM26">
        <f>RTD("rtdtrading.rtdserver",, "EMBR3_B_0", "SEM")</f>
        <v>7.0595854922279822</v>
      </c>
      <c r="BN26">
        <f>RTD("rtdtrading.rtdserver",, "EMBR3_B_0", "MES")</f>
        <v>2.9393448748287447</v>
      </c>
      <c r="BO26">
        <f>RTD("rtdtrading.rtdserver",, "EMBR3_B_0", "3M")</f>
        <v>12.235198261814238</v>
      </c>
      <c r="BP26">
        <f>RTD("rtdtrading.rtdserver",, "EMBR3_B_0", "6M")</f>
        <v>36.279319015623074</v>
      </c>
      <c r="BQ26">
        <f>RTD("rtdtrading.rtdserver",, "EMBR3_B_0", "12M")</f>
        <v>82.356536262805221</v>
      </c>
      <c r="BR26">
        <f>RTD("rtdtrading.rtdserver",, "EMBR3_B_0", "ANO")</f>
        <v>47.24169015288907</v>
      </c>
      <c r="BS26">
        <f>RTD("rtdtrading.rtdserver",, "EMBR3_B_0", "TRIM")</f>
        <v>2.9393448748287447</v>
      </c>
      <c r="BT26">
        <f>RTD("rtdtrading.rtdserver",, "EMBR3_B_0", "SEMES")</f>
        <v>7.3237241916634206</v>
      </c>
      <c r="BU26" t="str">
        <f>RTD("rtdtrading.rtdserver",, "EMBR3_B_0", "VEN")</f>
        <v>-</v>
      </c>
      <c r="BV26" t="str">
        <f>RTD("rtdtrading.rtdserver",, "EMBR3_B_0", "VAL")</f>
        <v>31/12/9999</v>
      </c>
      <c r="BW26">
        <f>RTD("rtdtrading.rtdserver",, "EMBR3_B_0", "CAB")</f>
        <v>0</v>
      </c>
      <c r="BX26" t="str">
        <f>RTD("rtdtrading.rtdserver",, "EMBR3_B_0", "EST")</f>
        <v>Pré-Fechamento</v>
      </c>
      <c r="BY26" t="str">
        <f>RTD("rtdtrading.rtdserver",, "EMBR3_B_0", "BLACK")</f>
        <v>-</v>
      </c>
      <c r="BZ26" t="str">
        <f>RTD("rtdtrading.rtdserver",, "EMBR3_B_0", "IMPVT")</f>
        <v>-</v>
      </c>
      <c r="CA26" t="str">
        <f>RTD("rtdtrading.rtdserver",, "EMBR3_B_0", "DELTA")</f>
        <v>-</v>
      </c>
      <c r="CB26" t="str">
        <f>RTD("rtdtrading.rtdserver",, "EMBR3_B_0", "GAMA")</f>
        <v>-</v>
      </c>
      <c r="CC26" t="str">
        <f>RTD("rtdtrading.rtdserver",, "EMBR3_B_0", "THETA")</f>
        <v>-</v>
      </c>
      <c r="CD26" t="str">
        <f>RTD("rtdtrading.rtdserver",, "EMBR3_B_0", "RHO")</f>
        <v>-</v>
      </c>
      <c r="CE26" t="str">
        <f>RTD("rtdtrading.rtdserver",, "EMBR3_B_0", "VEGA")</f>
        <v>-</v>
      </c>
      <c r="CF26" t="str">
        <f>RTD("rtdtrading.rtdserver",, "EMBR3_B_0", "VIA")</f>
        <v>-</v>
      </c>
      <c r="CG26" t="str">
        <f>RTD("rtdtrading.rtdserver",, "EMBR3_B_0", "VIB")</f>
        <v>-</v>
      </c>
      <c r="CH26" t="str">
        <f>RTD("rtdtrading.rtdserver",, "EMBR3_B_0", "DOBRAR")</f>
        <v>-</v>
      </c>
      <c r="CI26" t="str">
        <f>RTD("rtdtrading.rtdserver",, "EMBR3_B_0", "VIVH")</f>
        <v>-</v>
      </c>
      <c r="CJ26" t="str">
        <f>RTD("rtdtrading.rtdserver",, "EMBR3_B_0", "VINT")</f>
        <v>-</v>
      </c>
      <c r="CK26" t="str">
        <f>RTD("rtdtrading.rtdserver",, "EMBR3_B_0", "VEXT")</f>
        <v>-</v>
      </c>
    </row>
    <row r="27" spans="2:89" x14ac:dyDescent="0.25">
      <c r="B27" t="s">
        <v>217</v>
      </c>
      <c r="C27" t="s">
        <v>218</v>
      </c>
      <c r="D27" t="s">
        <v>219</v>
      </c>
      <c r="E27" s="76">
        <v>1646519336</v>
      </c>
      <c r="F27">
        <v>0.439</v>
      </c>
      <c r="J27" s="3">
        <f>RTD("rtdtrading.rtdserver",, $B27&amp;"_B_0", J$4)</f>
        <v>5.6400000000000006</v>
      </c>
      <c r="K27" s="3">
        <f>RTD("rtdtrading.rtdserver",, $B27&amp;"_B_0", K$4)</f>
        <v>5.67</v>
      </c>
      <c r="L27" s="3">
        <f>RTD("rtdtrading.rtdserver",, $B27&amp;"_B_0", L$4)</f>
        <v>0</v>
      </c>
      <c r="M27" s="3">
        <f t="shared" si="3"/>
        <v>5.67</v>
      </c>
      <c r="O27" s="33">
        <f t="shared" si="4"/>
        <v>621.61135416209856</v>
      </c>
      <c r="P27" s="10">
        <f t="shared" si="0"/>
        <v>5.3191489361701372E-3</v>
      </c>
      <c r="Q27">
        <v>2.1999999999999999E-5</v>
      </c>
      <c r="R27" s="17">
        <f t="shared" si="5"/>
        <v>5.3411489361701375E-3</v>
      </c>
      <c r="S27">
        <v>22</v>
      </c>
      <c r="T27" s="10" t="str">
        <f t="shared" si="6"/>
        <v>CMIG4</v>
      </c>
      <c r="U27" s="10">
        <f t="shared" si="1"/>
        <v>3.7623183520599343E-3</v>
      </c>
      <c r="V27" t="str">
        <f t="shared" si="7"/>
        <v/>
      </c>
      <c r="W27" s="10" t="str">
        <f t="shared" si="8"/>
        <v>POMO4</v>
      </c>
      <c r="X27" s="10">
        <f t="shared" si="9"/>
        <v>-8.1487213114754195E-3</v>
      </c>
      <c r="Y27" s="33">
        <f t="shared" si="10"/>
        <v>621.61135416209856</v>
      </c>
      <c r="Z27" s="80">
        <f t="shared" si="11"/>
        <v>0</v>
      </c>
      <c r="AA27" s="2"/>
      <c r="AB27" s="34"/>
      <c r="AC27" s="2"/>
      <c r="AD27" s="2"/>
      <c r="AE27" s="2"/>
      <c r="AF27" s="2"/>
      <c r="AG27" s="2"/>
      <c r="AH27" s="2">
        <f t="shared" ca="1" si="2"/>
        <v>1423.3333333333317</v>
      </c>
      <c r="AI27" s="2">
        <v>24</v>
      </c>
      <c r="AJ27" s="2"/>
      <c r="AM27" t="s">
        <v>166</v>
      </c>
      <c r="AN27" t="str">
        <f>RTD("rtdtrading.rtdserver",, "BBDC4_B_0", "DAT")</f>
        <v>14/10/2025</v>
      </c>
      <c r="AO27" t="str">
        <f>RTD("rtdtrading.rtdserver",, "BBDC4_B_0", "HOR")</f>
        <v>17:07:37</v>
      </c>
      <c r="AP27">
        <f>RTD("rtdtrading.rtdserver",, "BBDC4_B_0", "ULT")</f>
        <v>17.16</v>
      </c>
      <c r="AQ27">
        <f>RTD("rtdtrading.rtdserver",, "BBDC4_B_0", "ABE")</f>
        <v>17.02</v>
      </c>
      <c r="AR27">
        <f>RTD("rtdtrading.rtdserver",, "BBDC4_B_0", "MAX")</f>
        <v>17.350000000000001</v>
      </c>
      <c r="AS27">
        <f>RTD("rtdtrading.rtdserver",, "BBDC4_B_0", "MIN")</f>
        <v>16.97</v>
      </c>
      <c r="AT27">
        <f>RTD("rtdtrading.rtdserver",, "BBDC4_B_0", "FEC")</f>
        <v>16.920000000000002</v>
      </c>
      <c r="AU27">
        <f>RTD("rtdtrading.rtdserver",, "BBDC4_B_0", "PEX")</f>
        <v>0</v>
      </c>
      <c r="AV27">
        <f>RTD("rtdtrading.rtdserver",, "BBDC4_B_0", "VAR")</f>
        <v>1.4184397163120472</v>
      </c>
      <c r="AW27">
        <f>RTD("rtdtrading.rtdserver",, "BBDC4_B_0", "VARPTS")</f>
        <v>0.23999999999999844</v>
      </c>
      <c r="AX27">
        <f>RTD("rtdtrading.rtdserver",, "BBDC4_B_0", "MED")</f>
        <v>17.214006561597714</v>
      </c>
      <c r="AY27" t="s">
        <v>220</v>
      </c>
      <c r="AZ27">
        <f>RTD("rtdtrading.rtdserver",, "BBDC4_B_0", "NEG")</f>
        <v>40307</v>
      </c>
      <c r="BA27">
        <f>RTD("rtdtrading.rtdserver",, "BBDC4_B_0", "QUL")</f>
        <v>0</v>
      </c>
      <c r="BB27">
        <f>RTD("rtdtrading.rtdserver",, "BBDC4_B_0", "QTT")</f>
        <v>38374800</v>
      </c>
      <c r="BC27">
        <f>RTD("rtdtrading.rtdserver",, "BBDC4_B_0", "VOL")</f>
        <v>660584059</v>
      </c>
      <c r="BD27">
        <f>RTD("rtdtrading.rtdserver",, "BBDC4_B_0", "OCP")</f>
        <v>17.18</v>
      </c>
      <c r="BE27">
        <f>RTD("rtdtrading.rtdserver",, "BBDC4_B_0", "OVD")</f>
        <v>17.29</v>
      </c>
      <c r="BF27">
        <f>RTD("rtdtrading.rtdserver",, "BBDC4_B_0", "VOC")</f>
        <v>5700</v>
      </c>
      <c r="BG27">
        <f>RTD("rtdtrading.rtdserver",, "BBDC4_B_0", "VOV")</f>
        <v>100</v>
      </c>
      <c r="BH27">
        <f>RTD("rtdtrading.rtdserver",, "BBDC4_B_0", "AJU")</f>
        <v>0</v>
      </c>
      <c r="BI27">
        <f>RTD("rtdtrading.rtdserver",, "BBDC4_B_0", "AJA")</f>
        <v>0</v>
      </c>
      <c r="BJ27">
        <f>RTD("rtdtrading.rtdserver",, "BBDC4_B_0", "PRT")</f>
        <v>0</v>
      </c>
      <c r="BK27">
        <f>RTD("rtdtrading.rtdserver",, "BBDC4_B_0", "QTE")</f>
        <v>0</v>
      </c>
      <c r="BL27">
        <f>RTD("rtdtrading.rtdserver",, "BBDC4_B_0", "VPJ")</f>
        <v>660584059</v>
      </c>
      <c r="BM27">
        <f>RTD("rtdtrading.rtdserver",, "BBDC4_B_0", "SEM")</f>
        <v>1.8397626112759566</v>
      </c>
      <c r="BN27">
        <f>RTD("rtdtrading.rtdserver",, "BBDC4_B_0", "MES")</f>
        <v>-2.9060293318848465</v>
      </c>
      <c r="BO27">
        <f>RTD("rtdtrading.rtdserver",, "BBDC4_B_0", "3M")</f>
        <v>8.3648029099359675</v>
      </c>
      <c r="BP27">
        <f>RTD("rtdtrading.rtdserver",, "BBDC4_B_0", "6M")</f>
        <v>40.884386134874624</v>
      </c>
      <c r="BQ27">
        <f>RTD("rtdtrading.rtdserver",, "BBDC4_B_0", "12M")</f>
        <v>25.682059545171558</v>
      </c>
      <c r="BR27">
        <f>RTD("rtdtrading.rtdserver",, "BBDC4_B_0", "ANO")</f>
        <v>60.514844816941995</v>
      </c>
      <c r="BS27">
        <f>RTD("rtdtrading.rtdserver",, "BBDC4_B_0", "TRIM")</f>
        <v>-2.9060293318848465</v>
      </c>
      <c r="BT27">
        <f>RTD("rtdtrading.rtdserver",, "BBDC4_B_0", "SEMES")</f>
        <v>5.411232807710503</v>
      </c>
      <c r="BU27" t="str">
        <f>RTD("rtdtrading.rtdserver",, "BBDC4_B_0", "VEN")</f>
        <v>-</v>
      </c>
      <c r="BV27" t="str">
        <f>RTD("rtdtrading.rtdserver",, "BBDC4_B_0", "VAL")</f>
        <v>31/12/9999</v>
      </c>
      <c r="BW27">
        <f>RTD("rtdtrading.rtdserver",, "BBDC4_B_0", "CAB")</f>
        <v>0</v>
      </c>
      <c r="BX27" t="str">
        <f>RTD("rtdtrading.rtdserver",, "BBDC4_B_0", "EST")</f>
        <v>Pré-Fechamento</v>
      </c>
      <c r="BY27" t="str">
        <f>RTD("rtdtrading.rtdserver",, "BBDC4_B_0", "BLACK")</f>
        <v>-</v>
      </c>
      <c r="BZ27" t="str">
        <f>RTD("rtdtrading.rtdserver",, "BBDC4_B_0", "IMPVT")</f>
        <v>-</v>
      </c>
      <c r="CA27" t="str">
        <f>RTD("rtdtrading.rtdserver",, "BBDC4_B_0", "DELTA")</f>
        <v>-</v>
      </c>
      <c r="CB27" t="str">
        <f>RTD("rtdtrading.rtdserver",, "BBDC4_B_0", "GAMA")</f>
        <v>-</v>
      </c>
      <c r="CC27" t="str">
        <f>RTD("rtdtrading.rtdserver",, "BBDC4_B_0", "THETA")</f>
        <v>-</v>
      </c>
      <c r="CD27" t="str">
        <f>RTD("rtdtrading.rtdserver",, "BBDC4_B_0", "RHO")</f>
        <v>-</v>
      </c>
      <c r="CE27" t="str">
        <f>RTD("rtdtrading.rtdserver",, "BBDC4_B_0", "VEGA")</f>
        <v>-</v>
      </c>
      <c r="CF27" t="str">
        <f>RTD("rtdtrading.rtdserver",, "BBDC4_B_0", "VIA")</f>
        <v>-</v>
      </c>
      <c r="CG27" t="str">
        <f>RTD("rtdtrading.rtdserver",, "BBDC4_B_0", "VIB")</f>
        <v>-</v>
      </c>
      <c r="CH27" t="str">
        <f>RTD("rtdtrading.rtdserver",, "BBDC4_B_0", "DOBRAR")</f>
        <v>-</v>
      </c>
      <c r="CI27" t="str">
        <f>RTD("rtdtrading.rtdserver",, "BBDC4_B_0", "VIVH")</f>
        <v>-</v>
      </c>
      <c r="CJ27" t="str">
        <f>RTD("rtdtrading.rtdserver",, "BBDC4_B_0", "VINT")</f>
        <v>-</v>
      </c>
      <c r="CK27" t="str">
        <f>RTD("rtdtrading.rtdserver",, "BBDC4_B_0", "VEXT")</f>
        <v>-</v>
      </c>
    </row>
    <row r="28" spans="2:89" x14ac:dyDescent="0.25">
      <c r="B28" t="s">
        <v>461</v>
      </c>
      <c r="C28" t="s">
        <v>462</v>
      </c>
      <c r="D28" t="s">
        <v>142</v>
      </c>
      <c r="E28" s="76">
        <v>135117425</v>
      </c>
      <c r="F28">
        <v>0.19600000000000001</v>
      </c>
      <c r="J28" s="3">
        <f>RTD("rtdtrading.rtdserver",, $B28&amp;"_B_0", J$4)</f>
        <v>30.75</v>
      </c>
      <c r="K28" s="3">
        <f>RTD("rtdtrading.rtdserver",, $B28&amp;"_B_0", K$4)</f>
        <v>30.85</v>
      </c>
      <c r="L28" s="3">
        <f>RTD("rtdtrading.rtdserver",, $B28&amp;"_B_0", L$4)</f>
        <v>0</v>
      </c>
      <c r="M28" s="3">
        <f t="shared" si="3"/>
        <v>30.85</v>
      </c>
      <c r="O28" s="33">
        <f t="shared" si="4"/>
        <v>277.54638358204954</v>
      </c>
      <c r="P28" s="10">
        <f t="shared" si="0"/>
        <v>3.2520325203253542E-3</v>
      </c>
      <c r="Q28">
        <v>2.3E-5</v>
      </c>
      <c r="R28" s="17">
        <f t="shared" si="5"/>
        <v>3.2750325203253542E-3</v>
      </c>
      <c r="S28">
        <v>23</v>
      </c>
      <c r="T28" s="10" t="str">
        <f t="shared" si="6"/>
        <v>TIMS3</v>
      </c>
      <c r="U28" s="10">
        <f t="shared" si="1"/>
        <v>3.6175281346921932E-3</v>
      </c>
      <c r="V28" t="str">
        <f t="shared" si="7"/>
        <v/>
      </c>
      <c r="W28" s="10" t="str">
        <f t="shared" si="8"/>
        <v>RENT3</v>
      </c>
      <c r="X28" s="10">
        <f t="shared" si="9"/>
        <v>-7.4259463198671112E-3</v>
      </c>
      <c r="Y28" s="33">
        <f t="shared" si="10"/>
        <v>277.54638358204954</v>
      </c>
      <c r="Z28" s="80">
        <f t="shared" si="11"/>
        <v>0</v>
      </c>
      <c r="AA28" s="2"/>
      <c r="AB28" s="34"/>
      <c r="AC28" s="2"/>
      <c r="AD28" s="2"/>
      <c r="AE28" s="2"/>
      <c r="AF28" s="2"/>
      <c r="AG28" s="2"/>
      <c r="AH28" s="2">
        <f t="shared" ca="1" si="2"/>
        <v>1355.5555555555538</v>
      </c>
      <c r="AI28" s="2">
        <v>25</v>
      </c>
      <c r="AJ28" s="2"/>
      <c r="AM28" t="s">
        <v>222</v>
      </c>
      <c r="AN28" t="str">
        <f>RTD("rtdtrading.rtdserver",, "CYRE3_B_0", "DAT")</f>
        <v>14/10/2025</v>
      </c>
      <c r="AO28" t="str">
        <f>RTD("rtdtrading.rtdserver",, "CYRE3_B_0", "HOR")</f>
        <v>17:35:37</v>
      </c>
      <c r="AP28">
        <f>RTD("rtdtrading.rtdserver",, "CYRE3_B_0", "ULT")</f>
        <v>28.82</v>
      </c>
      <c r="AQ28">
        <f>RTD("rtdtrading.rtdserver",, "CYRE3_B_0", "ABE")</f>
        <v>28.96</v>
      </c>
      <c r="AR28">
        <f>RTD("rtdtrading.rtdserver",, "CYRE3_B_0", "MAX")</f>
        <v>28.96</v>
      </c>
      <c r="AS28">
        <f>RTD("rtdtrading.rtdserver",, "CYRE3_B_0", "MIN")</f>
        <v>28.5</v>
      </c>
      <c r="AT28">
        <f>RTD("rtdtrading.rtdserver",, "CYRE3_B_0", "FEC")</f>
        <v>28.970000000000002</v>
      </c>
      <c r="AU28">
        <f>RTD("rtdtrading.rtdserver",, "CYRE3_B_0", "PEX")</f>
        <v>0</v>
      </c>
      <c r="AV28">
        <f>RTD("rtdtrading.rtdserver",, "CYRE3_B_0", "VAR")</f>
        <v>-0.51777701070073223</v>
      </c>
      <c r="AW28">
        <f>RTD("rtdtrading.rtdserver",, "CYRE3_B_0", "VARPTS")</f>
        <v>-0.15000000000000213</v>
      </c>
      <c r="AX28">
        <f>RTD("rtdtrading.rtdserver",, "CYRE3_B_0", "MED")</f>
        <v>28.709836601307188</v>
      </c>
      <c r="AY28" t="s">
        <v>223</v>
      </c>
      <c r="AZ28">
        <f>RTD("rtdtrading.rtdserver",, "CYRE3_B_0", "NEG")</f>
        <v>11106</v>
      </c>
      <c r="BA28">
        <f>RTD("rtdtrading.rtdserver",, "CYRE3_B_0", "QUL")</f>
        <v>0</v>
      </c>
      <c r="BB28">
        <f>RTD("rtdtrading.rtdserver",, "CYRE3_B_0", "QTT")</f>
        <v>3457800</v>
      </c>
      <c r="BC28">
        <f>RTD("rtdtrading.rtdserver",, "CYRE3_B_0", "VOL")</f>
        <v>99272873</v>
      </c>
      <c r="BD28">
        <f>RTD("rtdtrading.rtdserver",, "CYRE3_B_0", "OCP")</f>
        <v>28.47</v>
      </c>
      <c r="BE28">
        <f>RTD("rtdtrading.rtdserver",, "CYRE3_B_0", "OVD")</f>
        <v>29.080000000000002</v>
      </c>
      <c r="BF28">
        <f>RTD("rtdtrading.rtdserver",, "CYRE3_B_0", "VOC")</f>
        <v>200</v>
      </c>
      <c r="BG28">
        <f>RTD("rtdtrading.rtdserver",, "CYRE3_B_0", "VOV")</f>
        <v>100</v>
      </c>
      <c r="BH28">
        <f>RTD("rtdtrading.rtdserver",, "CYRE3_B_0", "AJU")</f>
        <v>0</v>
      </c>
      <c r="BI28">
        <f>RTD("rtdtrading.rtdserver",, "CYRE3_B_0", "AJA")</f>
        <v>0</v>
      </c>
      <c r="BJ28">
        <f>RTD("rtdtrading.rtdserver",, "CYRE3_B_0", "PRT")</f>
        <v>0</v>
      </c>
      <c r="BK28">
        <f>RTD("rtdtrading.rtdserver",, "CYRE3_B_0", "QTE")</f>
        <v>0</v>
      </c>
      <c r="BL28">
        <f>RTD("rtdtrading.rtdserver",, "CYRE3_B_0", "VPJ")</f>
        <v>99272873</v>
      </c>
      <c r="BM28">
        <f>RTD("rtdtrading.rtdserver",, "CYRE3_B_0", "SEM")</f>
        <v>-0.68917987594763208</v>
      </c>
      <c r="BN28">
        <f>RTD("rtdtrading.rtdserver",, "CYRE3_B_0", "MES")</f>
        <v>-6.1237785016286725</v>
      </c>
      <c r="BO28">
        <f>RTD("rtdtrading.rtdserver",, "CYRE3_B_0", "3M")</f>
        <v>12.931034482758625</v>
      </c>
      <c r="BP28">
        <f>RTD("rtdtrading.rtdserver",, "CYRE3_B_0", "6M")</f>
        <v>20.704963897404969</v>
      </c>
      <c r="BQ28">
        <f>RTD("rtdtrading.rtdserver",, "CYRE3_B_0", "12M")</f>
        <v>40.559310956993329</v>
      </c>
      <c r="BR28">
        <f>RTD("rtdtrading.rtdserver",, "CYRE3_B_0", "ANO")</f>
        <v>77.460868708513431</v>
      </c>
      <c r="BS28">
        <f>RTD("rtdtrading.rtdserver",, "CYRE3_B_0", "TRIM")</f>
        <v>-6.1237785016286725</v>
      </c>
      <c r="BT28">
        <f>RTD("rtdtrading.rtdserver",, "CYRE3_B_0", "SEMES")</f>
        <v>10.252486610558529</v>
      </c>
      <c r="BU28" t="str">
        <f>RTD("rtdtrading.rtdserver",, "CYRE3_B_0", "VEN")</f>
        <v>-</v>
      </c>
      <c r="BV28" t="str">
        <f>RTD("rtdtrading.rtdserver",, "CYRE3_B_0", "VAL")</f>
        <v>31/12/9999</v>
      </c>
      <c r="BW28">
        <f>RTD("rtdtrading.rtdserver",, "CYRE3_B_0", "CAB")</f>
        <v>0</v>
      </c>
      <c r="BX28" t="str">
        <f>RTD("rtdtrading.rtdserver",, "CYRE3_B_0", "EST")</f>
        <v>Pré-Fechamento</v>
      </c>
      <c r="BY28" t="str">
        <f>RTD("rtdtrading.rtdserver",, "CYRE3_B_0", "BLACK")</f>
        <v>-</v>
      </c>
      <c r="BZ28" t="str">
        <f>RTD("rtdtrading.rtdserver",, "CYRE3_B_0", "IMPVT")</f>
        <v>-</v>
      </c>
      <c r="CA28" t="str">
        <f>RTD("rtdtrading.rtdserver",, "CYRE3_B_0", "DELTA")</f>
        <v>-</v>
      </c>
      <c r="CB28" t="str">
        <f>RTD("rtdtrading.rtdserver",, "CYRE3_B_0", "GAMA")</f>
        <v>-</v>
      </c>
      <c r="CC28" t="str">
        <f>RTD("rtdtrading.rtdserver",, "CYRE3_B_0", "THETA")</f>
        <v>-</v>
      </c>
      <c r="CD28" t="str">
        <f>RTD("rtdtrading.rtdserver",, "CYRE3_B_0", "RHO")</f>
        <v>-</v>
      </c>
      <c r="CE28" t="str">
        <f>RTD("rtdtrading.rtdserver",, "CYRE3_B_0", "VEGA")</f>
        <v>-</v>
      </c>
      <c r="CF28" t="str">
        <f>RTD("rtdtrading.rtdserver",, "CYRE3_B_0", "VIA")</f>
        <v>-</v>
      </c>
      <c r="CG28" t="str">
        <f>RTD("rtdtrading.rtdserver",, "CYRE3_B_0", "VIB")</f>
        <v>-</v>
      </c>
      <c r="CH28" t="str">
        <f>RTD("rtdtrading.rtdserver",, "CYRE3_B_0", "DOBRAR")</f>
        <v>-</v>
      </c>
      <c r="CI28" t="str">
        <f>RTD("rtdtrading.rtdserver",, "CYRE3_B_0", "VIVH")</f>
        <v>-</v>
      </c>
      <c r="CJ28" t="str">
        <f>RTD("rtdtrading.rtdserver",, "CYRE3_B_0", "VINT")</f>
        <v>-</v>
      </c>
      <c r="CK28" t="str">
        <f>RTD("rtdtrading.rtdserver",, "CYRE3_B_0", "VEXT")</f>
        <v>-</v>
      </c>
    </row>
    <row r="29" spans="2:89" x14ac:dyDescent="0.25">
      <c r="B29" t="s">
        <v>29</v>
      </c>
      <c r="C29" t="s">
        <v>221</v>
      </c>
      <c r="D29" t="s">
        <v>142</v>
      </c>
      <c r="E29" s="76">
        <v>450059727</v>
      </c>
      <c r="F29">
        <v>3.5999999999999997E-2</v>
      </c>
      <c r="J29" s="3">
        <f>RTD("rtdtrading.rtdserver",, $B29&amp;"_B_0", J$4)</f>
        <v>1.72</v>
      </c>
      <c r="K29" s="3">
        <f>RTD("rtdtrading.rtdserver",, $B29&amp;"_B_0", K$4)</f>
        <v>1.72</v>
      </c>
      <c r="L29" s="3">
        <f>RTD("rtdtrading.rtdserver",, $B29&amp;"_B_0", L$4)</f>
        <v>0</v>
      </c>
      <c r="M29" s="3">
        <f t="shared" si="3"/>
        <v>1.72</v>
      </c>
      <c r="O29" s="33">
        <f t="shared" si="4"/>
        <v>51.542756842776946</v>
      </c>
      <c r="P29" s="10">
        <f t="shared" si="0"/>
        <v>0</v>
      </c>
      <c r="Q29">
        <v>2.4000000000000001E-5</v>
      </c>
      <c r="R29" s="17">
        <f t="shared" si="5"/>
        <v>2.4000000000000001E-5</v>
      </c>
      <c r="S29">
        <v>24</v>
      </c>
      <c r="T29" s="10" t="str">
        <f t="shared" si="6"/>
        <v>CURY3</v>
      </c>
      <c r="U29" s="10">
        <f t="shared" si="1"/>
        <v>3.2750325203253542E-3</v>
      </c>
      <c r="V29" t="str">
        <f t="shared" si="7"/>
        <v/>
      </c>
      <c r="W29" s="10" t="str">
        <f t="shared" si="8"/>
        <v>IGTI11</v>
      </c>
      <c r="X29" s="10">
        <f t="shared" si="9"/>
        <v>-7.3362711496745116E-3</v>
      </c>
      <c r="Y29" s="33">
        <f t="shared" si="10"/>
        <v>51.542756842776946</v>
      </c>
      <c r="Z29" s="80">
        <f t="shared" si="11"/>
        <v>0</v>
      </c>
      <c r="AA29" s="2"/>
      <c r="AB29" s="34"/>
      <c r="AC29" s="2"/>
      <c r="AD29" s="2"/>
      <c r="AE29" s="2"/>
      <c r="AF29" s="2"/>
      <c r="AG29" s="2"/>
      <c r="AH29" s="2">
        <f t="shared" ca="1" si="2"/>
        <v>1287.777777777776</v>
      </c>
      <c r="AI29" s="2">
        <v>26</v>
      </c>
      <c r="AJ29" s="2"/>
      <c r="AM29" t="s">
        <v>225</v>
      </c>
      <c r="AN29" t="str">
        <f>RTD("rtdtrading.rtdserver",, "USIM5_B_0", "DAT")</f>
        <v>14/10/2025</v>
      </c>
      <c r="AO29" t="str">
        <f>RTD("rtdtrading.rtdserver",, "USIM5_B_0", "HOR")</f>
        <v>17:07:00</v>
      </c>
      <c r="AP29">
        <f>RTD("rtdtrading.rtdserver",, "USIM5_B_0", "ULT")</f>
        <v>4.6500000000000004</v>
      </c>
      <c r="AQ29">
        <f>RTD("rtdtrading.rtdserver",, "USIM5_B_0", "ABE")</f>
        <v>4.46</v>
      </c>
      <c r="AR29">
        <f>RTD("rtdtrading.rtdserver",, "USIM5_B_0", "MAX")</f>
        <v>4.68</v>
      </c>
      <c r="AS29">
        <f>RTD("rtdtrading.rtdserver",, "USIM5_B_0", "MIN")</f>
        <v>4.41</v>
      </c>
      <c r="AT29">
        <f>RTD("rtdtrading.rtdserver",, "USIM5_B_0", "FEC")</f>
        <v>4.5200000000000005</v>
      </c>
      <c r="AU29">
        <f>RTD("rtdtrading.rtdserver",, "USIM5_B_0", "PEX")</f>
        <v>0</v>
      </c>
      <c r="AV29">
        <f>RTD("rtdtrading.rtdserver",, "USIM5_B_0", "VAR")</f>
        <v>2.8761061946902626</v>
      </c>
      <c r="AW29">
        <f>RTD("rtdtrading.rtdserver",, "USIM5_B_0", "VARPTS")</f>
        <v>0.12999999999999989</v>
      </c>
      <c r="AX29">
        <f>RTD("rtdtrading.rtdserver",, "USIM5_B_0", "MED")</f>
        <v>4.6011667112131311</v>
      </c>
      <c r="AY29" t="s">
        <v>226</v>
      </c>
      <c r="AZ29">
        <f>RTD("rtdtrading.rtdserver",, "USIM5_B_0", "NEG")</f>
        <v>12508</v>
      </c>
      <c r="BA29">
        <f>RTD("rtdtrading.rtdserver",, "USIM5_B_0", "QUL")</f>
        <v>0</v>
      </c>
      <c r="BB29">
        <f>RTD("rtdtrading.rtdserver",, "USIM5_B_0", "QTT")</f>
        <v>25441600</v>
      </c>
      <c r="BC29">
        <f>RTD("rtdtrading.rtdserver",, "USIM5_B_0", "VOL")</f>
        <v>117061043</v>
      </c>
      <c r="BD29">
        <f>RTD("rtdtrading.rtdserver",, "USIM5_B_0", "OCP")</f>
        <v>4.6100000000000003</v>
      </c>
      <c r="BE29">
        <f>RTD("rtdtrading.rtdserver",, "USIM5_B_0", "OVD")</f>
        <v>4.67</v>
      </c>
      <c r="BF29">
        <f>RTD("rtdtrading.rtdserver",, "USIM5_B_0", "VOC")</f>
        <v>200</v>
      </c>
      <c r="BG29">
        <f>RTD("rtdtrading.rtdserver",, "USIM5_B_0", "VOV")</f>
        <v>1400</v>
      </c>
      <c r="BH29">
        <f>RTD("rtdtrading.rtdserver",, "USIM5_B_0", "AJU")</f>
        <v>0</v>
      </c>
      <c r="BI29">
        <f>RTD("rtdtrading.rtdserver",, "USIM5_B_0", "AJA")</f>
        <v>0</v>
      </c>
      <c r="BJ29">
        <f>RTD("rtdtrading.rtdserver",, "USIM5_B_0", "PRT")</f>
        <v>0</v>
      </c>
      <c r="BK29">
        <f>RTD("rtdtrading.rtdserver",, "USIM5_B_0", "QTE")</f>
        <v>0</v>
      </c>
      <c r="BL29">
        <f>RTD("rtdtrading.rtdserver",, "USIM5_B_0", "VPJ")</f>
        <v>117061043</v>
      </c>
      <c r="BM29">
        <f>RTD("rtdtrading.rtdserver",, "USIM5_B_0", "SEM")</f>
        <v>9.4117647058823604</v>
      </c>
      <c r="BN29">
        <f>RTD("rtdtrading.rtdserver",, "USIM5_B_0", "MES")</f>
        <v>9.9290780141843946</v>
      </c>
      <c r="BO29">
        <f>RTD("rtdtrading.rtdserver",, "USIM5_B_0", "3M")</f>
        <v>10.189573459715632</v>
      </c>
      <c r="BP29">
        <f>RTD("rtdtrading.rtdserver",, "USIM5_B_0", "6M")</f>
        <v>-14.206642066420658</v>
      </c>
      <c r="BQ29">
        <f>RTD("rtdtrading.rtdserver",, "USIM5_B_0", "12M")</f>
        <v>-25.599999999999994</v>
      </c>
      <c r="BR29">
        <f>RTD("rtdtrading.rtdserver",, "USIM5_B_0", "ANO")</f>
        <v>-12.593984962406013</v>
      </c>
      <c r="BS29">
        <f>RTD("rtdtrading.rtdserver",, "USIM5_B_0", "TRIM")</f>
        <v>9.9290780141843946</v>
      </c>
      <c r="BT29">
        <f>RTD("rtdtrading.rtdserver",, "USIM5_B_0", "SEMES")</f>
        <v>12.864077669902919</v>
      </c>
      <c r="BU29" t="str">
        <f>RTD("rtdtrading.rtdserver",, "USIM5_B_0", "VEN")</f>
        <v>-</v>
      </c>
      <c r="BV29" t="str">
        <f>RTD("rtdtrading.rtdserver",, "USIM5_B_0", "VAL")</f>
        <v>31/12/9999</v>
      </c>
      <c r="BW29">
        <f>RTD("rtdtrading.rtdserver",, "USIM5_B_0", "CAB")</f>
        <v>0</v>
      </c>
      <c r="BX29" t="str">
        <f>RTD("rtdtrading.rtdserver",, "USIM5_B_0", "EST")</f>
        <v>Pré-Fechamento</v>
      </c>
      <c r="BY29" t="str">
        <f>RTD("rtdtrading.rtdserver",, "USIM5_B_0", "BLACK")</f>
        <v>-</v>
      </c>
      <c r="BZ29" t="str">
        <f>RTD("rtdtrading.rtdserver",, "USIM5_B_0", "IMPVT")</f>
        <v>-</v>
      </c>
      <c r="CA29" t="str">
        <f>RTD("rtdtrading.rtdserver",, "USIM5_B_0", "DELTA")</f>
        <v>-</v>
      </c>
      <c r="CB29" t="str">
        <f>RTD("rtdtrading.rtdserver",, "USIM5_B_0", "GAMA")</f>
        <v>-</v>
      </c>
      <c r="CC29" t="str">
        <f>RTD("rtdtrading.rtdserver",, "USIM5_B_0", "THETA")</f>
        <v>-</v>
      </c>
      <c r="CD29" t="str">
        <f>RTD("rtdtrading.rtdserver",, "USIM5_B_0", "RHO")</f>
        <v>-</v>
      </c>
      <c r="CE29" t="str">
        <f>RTD("rtdtrading.rtdserver",, "USIM5_B_0", "VEGA")</f>
        <v>-</v>
      </c>
      <c r="CF29" t="str">
        <f>RTD("rtdtrading.rtdserver",, "USIM5_B_0", "VIA")</f>
        <v>-</v>
      </c>
      <c r="CG29" t="str">
        <f>RTD("rtdtrading.rtdserver",, "USIM5_B_0", "VIB")</f>
        <v>-</v>
      </c>
      <c r="CH29" t="str">
        <f>RTD("rtdtrading.rtdserver",, "USIM5_B_0", "DOBRAR")</f>
        <v>-</v>
      </c>
      <c r="CI29" t="str">
        <f>RTD("rtdtrading.rtdserver",, "USIM5_B_0", "VIVH")</f>
        <v>-</v>
      </c>
      <c r="CJ29" t="str">
        <f>RTD("rtdtrading.rtdserver",, "USIM5_B_0", "VINT")</f>
        <v>-</v>
      </c>
      <c r="CK29" t="str">
        <f>RTD("rtdtrading.rtdserver",, "USIM5_B_0", "VEXT")</f>
        <v>-</v>
      </c>
    </row>
    <row r="30" spans="2:89" x14ac:dyDescent="0.25">
      <c r="B30" t="s">
        <v>222</v>
      </c>
      <c r="C30" t="s">
        <v>224</v>
      </c>
      <c r="D30" t="s">
        <v>142</v>
      </c>
      <c r="E30" s="76">
        <v>256055995</v>
      </c>
      <c r="F30">
        <v>0.34699999999999998</v>
      </c>
      <c r="J30" s="3">
        <f>RTD("rtdtrading.rtdserver",, $B30&amp;"_B_0", J$4)</f>
        <v>28.970000000000002</v>
      </c>
      <c r="K30" s="3">
        <f>RTD("rtdtrading.rtdserver",, $B30&amp;"_B_0", K$4)</f>
        <v>28.82</v>
      </c>
      <c r="L30" s="3">
        <f>RTD("rtdtrading.rtdserver",, $B30&amp;"_B_0", L$4)</f>
        <v>0</v>
      </c>
      <c r="M30" s="3">
        <f t="shared" si="3"/>
        <v>28.82</v>
      </c>
      <c r="O30" s="33">
        <f t="shared" si="4"/>
        <v>491.3579297260402</v>
      </c>
      <c r="P30" s="10">
        <f t="shared" si="0"/>
        <v>-5.1777701070073734E-3</v>
      </c>
      <c r="Q30">
        <v>2.5000000000000001E-5</v>
      </c>
      <c r="R30" s="17">
        <f t="shared" si="5"/>
        <v>-5.1527701070073735E-3</v>
      </c>
      <c r="S30">
        <v>25</v>
      </c>
      <c r="T30" s="10" t="str">
        <f t="shared" si="6"/>
        <v>MRVE3</v>
      </c>
      <c r="U30" s="10">
        <f t="shared" si="1"/>
        <v>3.267434083601254E-3</v>
      </c>
      <c r="V30" t="str">
        <f t="shared" si="7"/>
        <v/>
      </c>
      <c r="W30" s="10" t="str">
        <f t="shared" si="8"/>
        <v>PETR4</v>
      </c>
      <c r="X30" s="10">
        <f t="shared" si="9"/>
        <v>-6.8897416473700807E-3</v>
      </c>
      <c r="Y30" s="33">
        <f t="shared" si="10"/>
        <v>491.3579297260402</v>
      </c>
      <c r="Z30" s="80">
        <f t="shared" si="11"/>
        <v>0</v>
      </c>
      <c r="AA30" s="2"/>
      <c r="AB30" s="34"/>
      <c r="AC30" s="2"/>
      <c r="AD30" s="2"/>
      <c r="AE30" s="2"/>
      <c r="AF30" s="2"/>
      <c r="AG30" s="2"/>
      <c r="AH30" s="2">
        <f t="shared" ca="1" si="2"/>
        <v>1219.9999999999982</v>
      </c>
      <c r="AI30" s="2">
        <v>27</v>
      </c>
      <c r="AJ30" s="2"/>
      <c r="AM30" t="s">
        <v>170</v>
      </c>
      <c r="AN30" t="str">
        <f>RTD("rtdtrading.rtdserver",, "BRAP4_B_0", "DAT")</f>
        <v>14/10/2025</v>
      </c>
      <c r="AO30" t="str">
        <f>RTD("rtdtrading.rtdserver",, "BRAP4_B_0", "HOR")</f>
        <v>17:07:57</v>
      </c>
      <c r="AP30">
        <f>RTD("rtdtrading.rtdserver",, "BRAP4_B_0", "ULT")</f>
        <v>17.220000000000002</v>
      </c>
      <c r="AQ30">
        <f>RTD("rtdtrading.rtdserver",, "BRAP4_B_0", "ABE")</f>
        <v>17.18</v>
      </c>
      <c r="AR30">
        <f>RTD("rtdtrading.rtdserver",, "BRAP4_B_0", "MAX")</f>
        <v>17.37</v>
      </c>
      <c r="AS30">
        <f>RTD("rtdtrading.rtdserver",, "BRAP4_B_0", "MIN")</f>
        <v>17.13</v>
      </c>
      <c r="AT30">
        <f>RTD("rtdtrading.rtdserver",, "BRAP4_B_0", "FEC")</f>
        <v>17.310000000000002</v>
      </c>
      <c r="AU30">
        <f>RTD("rtdtrading.rtdserver",, "BRAP4_B_0", "PEX")</f>
        <v>0</v>
      </c>
      <c r="AV30">
        <f>RTD("rtdtrading.rtdserver",, "BRAP4_B_0", "VAR")</f>
        <v>-0.51993067590987774</v>
      </c>
      <c r="AW30">
        <f>RTD("rtdtrading.rtdserver",, "BRAP4_B_0", "VARPTS")</f>
        <v>-8.9999999999999858E-2</v>
      </c>
      <c r="AX30">
        <f>RTD("rtdtrading.rtdserver",, "BRAP4_B_0", "MED")</f>
        <v>17.260701183431951</v>
      </c>
      <c r="AY30" t="s">
        <v>229</v>
      </c>
      <c r="AZ30">
        <f>RTD("rtdtrading.rtdserver",, "BRAP4_B_0", "NEG")</f>
        <v>2741</v>
      </c>
      <c r="BA30">
        <f>RTD("rtdtrading.rtdserver",, "BRAP4_B_0", "QUL")</f>
        <v>0</v>
      </c>
      <c r="BB30">
        <f>RTD("rtdtrading.rtdserver",, "BRAP4_B_0", "QTT")</f>
        <v>1014000</v>
      </c>
      <c r="BC30">
        <f>RTD("rtdtrading.rtdserver",, "BRAP4_B_0", "VOL")</f>
        <v>17502351</v>
      </c>
      <c r="BD30">
        <f>RTD("rtdtrading.rtdserver",, "BRAP4_B_0", "OCP")</f>
        <v>17.11</v>
      </c>
      <c r="BE30">
        <f>RTD("rtdtrading.rtdserver",, "BRAP4_B_0", "OVD")</f>
        <v>17.3</v>
      </c>
      <c r="BF30">
        <f>RTD("rtdtrading.rtdserver",, "BRAP4_B_0", "VOC")</f>
        <v>100</v>
      </c>
      <c r="BG30">
        <f>RTD("rtdtrading.rtdserver",, "BRAP4_B_0", "VOV")</f>
        <v>1000</v>
      </c>
      <c r="BH30">
        <f>RTD("rtdtrading.rtdserver",, "BRAP4_B_0", "AJU")</f>
        <v>0</v>
      </c>
      <c r="BI30">
        <f>RTD("rtdtrading.rtdserver",, "BRAP4_B_0", "AJA")</f>
        <v>0</v>
      </c>
      <c r="BJ30">
        <f>RTD("rtdtrading.rtdserver",, "BRAP4_B_0", "PRT")</f>
        <v>0</v>
      </c>
      <c r="BK30">
        <f>RTD("rtdtrading.rtdserver",, "BRAP4_B_0", "QTE")</f>
        <v>0</v>
      </c>
      <c r="BL30">
        <f>RTD("rtdtrading.rtdserver",, "BRAP4_B_0", "VPJ")</f>
        <v>17502351</v>
      </c>
      <c r="BM30">
        <f>RTD("rtdtrading.rtdserver",, "BRAP4_B_0", "SEM")</f>
        <v>0.70175438596491801</v>
      </c>
      <c r="BN30">
        <f>RTD("rtdtrading.rtdserver",, "BRAP4_B_0", "MES")</f>
        <v>1.7129356172475056</v>
      </c>
      <c r="BO30">
        <f>RTD("rtdtrading.rtdserver",, "BRAP4_B_0", "3M")</f>
        <v>4.6808510638298069</v>
      </c>
      <c r="BP30">
        <f>RTD("rtdtrading.rtdserver",, "BRAP4_B_0", "6M")</f>
        <v>5.8246580056784003</v>
      </c>
      <c r="BQ30">
        <f>RTD("rtdtrading.rtdserver",, "BRAP4_B_0", "12M")</f>
        <v>-1.5403615904490573</v>
      </c>
      <c r="BR30">
        <f>RTD("rtdtrading.rtdserver",, "BRAP4_B_0", "ANO")</f>
        <v>9.5900872520381188</v>
      </c>
      <c r="BS30">
        <f>RTD("rtdtrading.rtdserver",, "BRAP4_B_0", "TRIM")</f>
        <v>1.7129356172475056</v>
      </c>
      <c r="BT30">
        <f>RTD("rtdtrading.rtdserver",, "BRAP4_B_0", "SEMES")</f>
        <v>9.6815286624203889</v>
      </c>
      <c r="BU30" t="str">
        <f>RTD("rtdtrading.rtdserver",, "BRAP4_B_0", "VEN")</f>
        <v>-</v>
      </c>
      <c r="BV30" t="str">
        <f>RTD("rtdtrading.rtdserver",, "BRAP4_B_0", "VAL")</f>
        <v>31/12/9999</v>
      </c>
      <c r="BW30">
        <f>RTD("rtdtrading.rtdserver",, "BRAP4_B_0", "CAB")</f>
        <v>0</v>
      </c>
      <c r="BX30" t="str">
        <f>RTD("rtdtrading.rtdserver",, "BRAP4_B_0", "EST")</f>
        <v>Pré-Fechamento</v>
      </c>
      <c r="BY30" t="str">
        <f>RTD("rtdtrading.rtdserver",, "BRAP4_B_0", "BLACK")</f>
        <v>-</v>
      </c>
      <c r="BZ30" t="str">
        <f>RTD("rtdtrading.rtdserver",, "BRAP4_B_0", "IMPVT")</f>
        <v>-</v>
      </c>
      <c r="CA30" t="str">
        <f>RTD("rtdtrading.rtdserver",, "BRAP4_B_0", "DELTA")</f>
        <v>-</v>
      </c>
      <c r="CB30" t="str">
        <f>RTD("rtdtrading.rtdserver",, "BRAP4_B_0", "GAMA")</f>
        <v>-</v>
      </c>
      <c r="CC30" t="str">
        <f>RTD("rtdtrading.rtdserver",, "BRAP4_B_0", "THETA")</f>
        <v>-</v>
      </c>
      <c r="CD30" t="str">
        <f>RTD("rtdtrading.rtdserver",, "BRAP4_B_0", "RHO")</f>
        <v>-</v>
      </c>
      <c r="CE30" t="str">
        <f>RTD("rtdtrading.rtdserver",, "BRAP4_B_0", "VEGA")</f>
        <v>-</v>
      </c>
      <c r="CF30" t="str">
        <f>RTD("rtdtrading.rtdserver",, "BRAP4_B_0", "VIA")</f>
        <v>-</v>
      </c>
      <c r="CG30" t="str">
        <f>RTD("rtdtrading.rtdserver",, "BRAP4_B_0", "VIB")</f>
        <v>-</v>
      </c>
      <c r="CH30" t="str">
        <f>RTD("rtdtrading.rtdserver",, "BRAP4_B_0", "DOBRAR")</f>
        <v>-</v>
      </c>
      <c r="CI30" t="str">
        <f>RTD("rtdtrading.rtdserver",, "BRAP4_B_0", "VIVH")</f>
        <v>-</v>
      </c>
      <c r="CJ30" t="str">
        <f>RTD("rtdtrading.rtdserver",, "BRAP4_B_0", "VINT")</f>
        <v>-</v>
      </c>
      <c r="CK30" t="str">
        <f>RTD("rtdtrading.rtdserver",, "BRAP4_B_0", "VEXT")</f>
        <v>-</v>
      </c>
    </row>
    <row r="31" spans="2:89" x14ac:dyDescent="0.25">
      <c r="B31" t="s">
        <v>227</v>
      </c>
      <c r="C31" t="s">
        <v>228</v>
      </c>
      <c r="D31" t="s">
        <v>142</v>
      </c>
      <c r="E31" s="76">
        <v>325640184</v>
      </c>
      <c r="F31">
        <v>0.22500000000000001</v>
      </c>
      <c r="J31" s="3">
        <f>RTD("rtdtrading.rtdserver",, $B31&amp;"_B_0", J$4)</f>
        <v>14.700000000000001</v>
      </c>
      <c r="K31" s="3">
        <f>RTD("rtdtrading.rtdserver",, $B31&amp;"_B_0", K$4)</f>
        <v>14.680000000000001</v>
      </c>
      <c r="L31" s="3">
        <f>RTD("rtdtrading.rtdserver",, $B31&amp;"_B_0", L$4)</f>
        <v>0</v>
      </c>
      <c r="M31" s="3">
        <f t="shared" si="3"/>
        <v>14.680000000000001</v>
      </c>
      <c r="O31" s="33">
        <f t="shared" si="4"/>
        <v>318.29740025474223</v>
      </c>
      <c r="P31" s="10">
        <f t="shared" si="0"/>
        <v>-1.3605442176870541E-3</v>
      </c>
      <c r="Q31">
        <v>2.5999999999999998E-5</v>
      </c>
      <c r="R31" s="17">
        <f t="shared" si="5"/>
        <v>-1.3345442176870542E-3</v>
      </c>
      <c r="S31">
        <v>26</v>
      </c>
      <c r="T31" s="10" t="str">
        <f t="shared" si="6"/>
        <v>SLCE3</v>
      </c>
      <c r="U31" s="10">
        <f t="shared" si="1"/>
        <v>2.6239105431309791E-3</v>
      </c>
      <c r="V31" t="str">
        <f t="shared" si="7"/>
        <v/>
      </c>
      <c r="W31" s="10" t="str">
        <f t="shared" si="8"/>
        <v>FLRY3</v>
      </c>
      <c r="X31" s="10">
        <f t="shared" si="9"/>
        <v>-6.4384919093850362E-3</v>
      </c>
      <c r="Y31" s="33">
        <f t="shared" si="10"/>
        <v>318.29740025474223</v>
      </c>
      <c r="Z31" s="80">
        <f t="shared" si="11"/>
        <v>0</v>
      </c>
      <c r="AA31" s="2"/>
      <c r="AB31" s="34"/>
      <c r="AC31" s="2"/>
      <c r="AD31" s="2"/>
      <c r="AE31" s="2"/>
      <c r="AF31" s="2"/>
      <c r="AG31" s="2"/>
      <c r="AH31" s="2">
        <f t="shared" ca="1" si="2"/>
        <v>1152.2222222222204</v>
      </c>
      <c r="AI31" s="2">
        <v>28</v>
      </c>
      <c r="AJ31" s="2"/>
      <c r="AM31" t="s">
        <v>232</v>
      </c>
      <c r="AN31" t="str">
        <f>RTD("rtdtrading.rtdserver",, "ITSA4_B_0", "DAT")</f>
        <v>14/10/2025</v>
      </c>
      <c r="AO31" t="str">
        <f>RTD("rtdtrading.rtdserver",, "ITSA4_B_0", "HOR")</f>
        <v>17:59:38</v>
      </c>
      <c r="AP31">
        <f>RTD("rtdtrading.rtdserver",, "ITSA4_B_0", "ULT")</f>
        <v>11.01</v>
      </c>
      <c r="AQ31">
        <f>RTD("rtdtrading.rtdserver",, "ITSA4_B_0", "ABE")</f>
        <v>10.97</v>
      </c>
      <c r="AR31">
        <f>RTD("rtdtrading.rtdserver",, "ITSA4_B_0", "MAX")</f>
        <v>11.15</v>
      </c>
      <c r="AS31">
        <f>RTD("rtdtrading.rtdserver",, "ITSA4_B_0", "MIN")</f>
        <v>10.96</v>
      </c>
      <c r="AT31">
        <f>RTD("rtdtrading.rtdserver",, "ITSA4_B_0", "FEC")</f>
        <v>11</v>
      </c>
      <c r="AU31">
        <f>RTD("rtdtrading.rtdserver",, "ITSA4_B_0", "PEX")</f>
        <v>0</v>
      </c>
      <c r="AV31">
        <f>RTD("rtdtrading.rtdserver",, "ITSA4_B_0", "VAR")</f>
        <v>9.0909090909088969E-2</v>
      </c>
      <c r="AW31">
        <f>RTD("rtdtrading.rtdserver",, "ITSA4_B_0", "VARPTS")</f>
        <v>9.9999999999997868E-3</v>
      </c>
      <c r="AX31">
        <f>RTD("rtdtrading.rtdserver",, "ITSA4_B_0", "MED")</f>
        <v>11.066239584077632</v>
      </c>
      <c r="AY31" t="s">
        <v>233</v>
      </c>
      <c r="AZ31">
        <f>RTD("rtdtrading.rtdserver",, "ITSA4_B_0", "NEG")</f>
        <v>13963</v>
      </c>
      <c r="BA31">
        <f>RTD("rtdtrading.rtdserver",, "ITSA4_B_0", "QUL")</f>
        <v>0</v>
      </c>
      <c r="BB31">
        <f>RTD("rtdtrading.rtdserver",, "ITSA4_B_0", "QTT")</f>
        <v>29390100</v>
      </c>
      <c r="BC31">
        <f>RTD("rtdtrading.rtdserver",, "ITSA4_B_0", "VOL")</f>
        <v>325237888</v>
      </c>
      <c r="BD31">
        <f>RTD("rtdtrading.rtdserver",, "ITSA4_B_0", "OCP")</f>
        <v>10.98</v>
      </c>
      <c r="BE31">
        <f>RTD("rtdtrading.rtdserver",, "ITSA4_B_0", "OVD")</f>
        <v>11.1</v>
      </c>
      <c r="BF31">
        <f>RTD("rtdtrading.rtdserver",, "ITSA4_B_0", "VOC")</f>
        <v>2000</v>
      </c>
      <c r="BG31">
        <f>RTD("rtdtrading.rtdserver",, "ITSA4_B_0", "VOV")</f>
        <v>100</v>
      </c>
      <c r="BH31">
        <f>RTD("rtdtrading.rtdserver",, "ITSA4_B_0", "AJU")</f>
        <v>0</v>
      </c>
      <c r="BI31">
        <f>RTD("rtdtrading.rtdserver",, "ITSA4_B_0", "AJA")</f>
        <v>0</v>
      </c>
      <c r="BJ31">
        <f>RTD("rtdtrading.rtdserver",, "ITSA4_B_0", "PRT")</f>
        <v>0</v>
      </c>
      <c r="BK31">
        <f>RTD("rtdtrading.rtdserver",, "ITSA4_B_0", "QTE")</f>
        <v>0</v>
      </c>
      <c r="BL31">
        <f>RTD("rtdtrading.rtdserver",, "ITSA4_B_0", "VPJ")</f>
        <v>325237888</v>
      </c>
      <c r="BM31">
        <f>RTD("rtdtrading.rtdserver",, "ITSA4_B_0", "SEM")</f>
        <v>0.54794520547944037</v>
      </c>
      <c r="BN31">
        <f>RTD("rtdtrading.rtdserver",, "ITSA4_B_0", "MES")</f>
        <v>-4.0104620749782116</v>
      </c>
      <c r="BO31">
        <f>RTD("rtdtrading.rtdserver",, "ITSA4_B_0", "3M")</f>
        <v>7.379015741120007</v>
      </c>
      <c r="BP31">
        <f>RTD("rtdtrading.rtdserver",, "ITSA4_B_0", "6M")</f>
        <v>16.699348137156182</v>
      </c>
      <c r="BQ31">
        <f>RTD("rtdtrading.rtdserver",, "ITSA4_B_0", "12M")</f>
        <v>22.048553375457253</v>
      </c>
      <c r="BR31">
        <f>RTD("rtdtrading.rtdserver",, "ITSA4_B_0", "ANO")</f>
        <v>36.831378007556168</v>
      </c>
      <c r="BS31">
        <f>RTD("rtdtrading.rtdserver",, "ITSA4_B_0", "TRIM")</f>
        <v>-4.0104620749782116</v>
      </c>
      <c r="BT31">
        <f>RTD("rtdtrading.rtdserver",, "ITSA4_B_0", "SEMES")</f>
        <v>2.1819228020677612</v>
      </c>
      <c r="BU31" t="str">
        <f>RTD("rtdtrading.rtdserver",, "ITSA4_B_0", "VEN")</f>
        <v>-</v>
      </c>
      <c r="BV31" t="str">
        <f>RTD("rtdtrading.rtdserver",, "ITSA4_B_0", "VAL")</f>
        <v>31/12/9999</v>
      </c>
      <c r="BW31">
        <f>RTD("rtdtrading.rtdserver",, "ITSA4_B_0", "CAB")</f>
        <v>0</v>
      </c>
      <c r="BX31" t="str">
        <f>RTD("rtdtrading.rtdserver",, "ITSA4_B_0", "EST")</f>
        <v>Pré-Fechamento</v>
      </c>
      <c r="BY31" t="str">
        <f>RTD("rtdtrading.rtdserver",, "ITSA4_B_0", "BLACK")</f>
        <v>-</v>
      </c>
      <c r="BZ31" t="str">
        <f>RTD("rtdtrading.rtdserver",, "ITSA4_B_0", "IMPVT")</f>
        <v>-</v>
      </c>
      <c r="CA31" t="str">
        <f>RTD("rtdtrading.rtdserver",, "ITSA4_B_0", "DELTA")</f>
        <v>-</v>
      </c>
      <c r="CB31" t="str">
        <f>RTD("rtdtrading.rtdserver",, "ITSA4_B_0", "GAMA")</f>
        <v>-</v>
      </c>
      <c r="CC31" t="str">
        <f>RTD("rtdtrading.rtdserver",, "ITSA4_B_0", "THETA")</f>
        <v>-</v>
      </c>
      <c r="CD31" t="str">
        <f>RTD("rtdtrading.rtdserver",, "ITSA4_B_0", "RHO")</f>
        <v>-</v>
      </c>
      <c r="CE31" t="str">
        <f>RTD("rtdtrading.rtdserver",, "ITSA4_B_0", "VEGA")</f>
        <v>-</v>
      </c>
      <c r="CF31" t="str">
        <f>RTD("rtdtrading.rtdserver",, "ITSA4_B_0", "VIA")</f>
        <v>-</v>
      </c>
      <c r="CG31" t="str">
        <f>RTD("rtdtrading.rtdserver",, "ITSA4_B_0", "VIB")</f>
        <v>-</v>
      </c>
      <c r="CH31" t="str">
        <f>RTD("rtdtrading.rtdserver",, "ITSA4_B_0", "DOBRAR")</f>
        <v>-</v>
      </c>
      <c r="CI31" t="str">
        <f>RTD("rtdtrading.rtdserver",, "ITSA4_B_0", "VIVH")</f>
        <v>-</v>
      </c>
      <c r="CJ31" t="str">
        <f>RTD("rtdtrading.rtdserver",, "ITSA4_B_0", "VINT")</f>
        <v>-</v>
      </c>
      <c r="CK31" t="str">
        <f>RTD("rtdtrading.rtdserver",, "ITSA4_B_0", "VEXT")</f>
        <v>-</v>
      </c>
    </row>
    <row r="32" spans="2:89" x14ac:dyDescent="0.25">
      <c r="B32" t="s">
        <v>230</v>
      </c>
      <c r="C32" t="s">
        <v>231</v>
      </c>
      <c r="D32" t="s">
        <v>163</v>
      </c>
      <c r="E32" s="76">
        <v>1821923647</v>
      </c>
      <c r="F32">
        <v>4.4390000000000001</v>
      </c>
      <c r="J32" s="3">
        <f>RTD("rtdtrading.rtdserver",, $B32&amp;"_B_0", J$4)</f>
        <v>52.03</v>
      </c>
      <c r="K32" s="3">
        <f>RTD("rtdtrading.rtdserver",, $B32&amp;"_B_0", K$4)</f>
        <v>51.84</v>
      </c>
      <c r="L32" s="3">
        <f>RTD("rtdtrading.rtdserver",, $B32&amp;"_B_0", L$4)</f>
        <v>0</v>
      </c>
      <c r="M32" s="3">
        <f t="shared" si="3"/>
        <v>51.84</v>
      </c>
      <c r="O32" s="33">
        <f t="shared" si="4"/>
        <v>6288.7482565103155</v>
      </c>
      <c r="P32" s="10">
        <f t="shared" si="0"/>
        <v>-3.6517393811262844E-3</v>
      </c>
      <c r="Q32">
        <v>2.6999999999999999E-5</v>
      </c>
      <c r="R32" s="17">
        <f t="shared" si="5"/>
        <v>-3.6247393811262843E-3</v>
      </c>
      <c r="S32">
        <v>27</v>
      </c>
      <c r="T32" s="10" t="str">
        <f t="shared" si="6"/>
        <v>CSAN3</v>
      </c>
      <c r="U32" s="10">
        <f t="shared" si="1"/>
        <v>1.7235775127767217E-3</v>
      </c>
      <c r="V32" t="str">
        <f t="shared" si="7"/>
        <v/>
      </c>
      <c r="W32" s="10" t="str">
        <f t="shared" si="8"/>
        <v>RAIL3</v>
      </c>
      <c r="X32" s="10">
        <f t="shared" si="9"/>
        <v>-6.4001241111829119E-3</v>
      </c>
      <c r="Y32" s="33">
        <f t="shared" si="10"/>
        <v>6288.7482565103155</v>
      </c>
      <c r="Z32" s="80">
        <f t="shared" si="11"/>
        <v>0</v>
      </c>
      <c r="AA32" s="2"/>
      <c r="AB32" s="34"/>
      <c r="AC32" s="2"/>
      <c r="AD32" s="2"/>
      <c r="AE32" s="2"/>
      <c r="AF32" s="2"/>
      <c r="AG32" s="2"/>
      <c r="AH32" s="2">
        <f t="shared" ca="1" si="2"/>
        <v>1084.4444444444425</v>
      </c>
      <c r="AI32" s="2">
        <v>29</v>
      </c>
      <c r="AJ32" s="2"/>
      <c r="AM32" t="s">
        <v>28</v>
      </c>
      <c r="AN32" t="str">
        <f>RTD("rtdtrading.rtdserver",, "ITUB4_B_0", "DAT")</f>
        <v>14/10/2025</v>
      </c>
      <c r="AO32" t="str">
        <f>RTD("rtdtrading.rtdserver",, "ITUB4_B_0", "HOR")</f>
        <v>17:57:31</v>
      </c>
      <c r="AP32">
        <f>RTD("rtdtrading.rtdserver",, "ITUB4_B_0", "ULT")</f>
        <v>37.450000000000003</v>
      </c>
      <c r="AQ32">
        <f>RTD("rtdtrading.rtdserver",, "ITUB4_B_0", "ABE")</f>
        <v>37.19</v>
      </c>
      <c r="AR32">
        <f>RTD("rtdtrading.rtdserver",, "ITUB4_B_0", "MAX")</f>
        <v>37.840000000000003</v>
      </c>
      <c r="AS32">
        <f>RTD("rtdtrading.rtdserver",, "ITUB4_B_0", "MIN")</f>
        <v>37.19</v>
      </c>
      <c r="AT32">
        <f>RTD("rtdtrading.rtdserver",, "ITUB4_B_0", "FEC")</f>
        <v>37.29</v>
      </c>
      <c r="AU32">
        <f>RTD("rtdtrading.rtdserver",, "ITUB4_B_0", "PEX")</f>
        <v>0</v>
      </c>
      <c r="AV32">
        <f>RTD("rtdtrading.rtdserver",, "ITUB4_B_0", "VAR")</f>
        <v>0.42906945561813808</v>
      </c>
      <c r="AW32">
        <f>RTD("rtdtrading.rtdserver",, "ITUB4_B_0", "VARPTS")</f>
        <v>0.16000000000000369</v>
      </c>
      <c r="AX32">
        <f>RTD("rtdtrading.rtdserver",, "ITUB4_B_0", "MED")</f>
        <v>37.599509220977176</v>
      </c>
      <c r="AY32" t="s">
        <v>236</v>
      </c>
      <c r="AZ32">
        <f>RTD("rtdtrading.rtdserver",, "ITUB4_B_0", "NEG")</f>
        <v>24226</v>
      </c>
      <c r="BA32">
        <f>RTD("rtdtrading.rtdserver",, "ITUB4_B_0", "QUL")</f>
        <v>0</v>
      </c>
      <c r="BB32">
        <f>RTD("rtdtrading.rtdserver",, "ITUB4_B_0", "QTT")</f>
        <v>20534700</v>
      </c>
      <c r="BC32">
        <f>RTD("rtdtrading.rtdserver",, "ITUB4_B_0", "VOL")</f>
        <v>772094642</v>
      </c>
      <c r="BD32">
        <f>RTD("rtdtrading.rtdserver",, "ITUB4_B_0", "OCP")</f>
        <v>37.29</v>
      </c>
      <c r="BE32">
        <f>RTD("rtdtrading.rtdserver",, "ITUB4_B_0", "OVD")</f>
        <v>37.72</v>
      </c>
      <c r="BF32">
        <f>RTD("rtdtrading.rtdserver",, "ITUB4_B_0", "VOC")</f>
        <v>400</v>
      </c>
      <c r="BG32">
        <f>RTD("rtdtrading.rtdserver",, "ITUB4_B_0", "VOV")</f>
        <v>100</v>
      </c>
      <c r="BH32">
        <f>RTD("rtdtrading.rtdserver",, "ITUB4_B_0", "AJU")</f>
        <v>0</v>
      </c>
      <c r="BI32">
        <f>RTD("rtdtrading.rtdserver",, "ITUB4_B_0", "AJA")</f>
        <v>0</v>
      </c>
      <c r="BJ32">
        <f>RTD("rtdtrading.rtdserver",, "ITUB4_B_0", "PRT")</f>
        <v>0</v>
      </c>
      <c r="BK32">
        <f>RTD("rtdtrading.rtdserver",, "ITUB4_B_0", "QTE")</f>
        <v>0</v>
      </c>
      <c r="BL32">
        <f>RTD("rtdtrading.rtdserver",, "ITUB4_B_0", "VPJ")</f>
        <v>772094642</v>
      </c>
      <c r="BM32">
        <f>RTD("rtdtrading.rtdserver",, "ITUB4_B_0", "SEM")</f>
        <v>0.83467959073775522</v>
      </c>
      <c r="BN32">
        <f>RTD("rtdtrading.rtdserver",, "ITUB4_B_0", "MES")</f>
        <v>-4.1095890410958829</v>
      </c>
      <c r="BO32">
        <f>RTD("rtdtrading.rtdserver",, "ITUB4_B_0", "3M")</f>
        <v>8.3215225754201327</v>
      </c>
      <c r="BP32">
        <f>RTD("rtdtrading.rtdserver",, "ITUB4_B_0", "6M")</f>
        <v>19.925962930228387</v>
      </c>
      <c r="BQ32">
        <f>RTD("rtdtrading.rtdserver",, "ITUB4_B_0", "12M")</f>
        <v>28.139327995620334</v>
      </c>
      <c r="BR32">
        <f>RTD("rtdtrading.rtdserver",, "ITUB4_B_0", "ANO")</f>
        <v>43.114273594747779</v>
      </c>
      <c r="BS32">
        <f>RTD("rtdtrading.rtdserver",, "ITUB4_B_0", "TRIM")</f>
        <v>-4.1095890410958829</v>
      </c>
      <c r="BT32">
        <f>RTD("rtdtrading.rtdserver",, "ITUB4_B_0", "SEMES")</f>
        <v>2.3534459904506568</v>
      </c>
      <c r="BU32" t="str">
        <f>RTD("rtdtrading.rtdserver",, "ITUB4_B_0", "VEN")</f>
        <v>-</v>
      </c>
      <c r="BV32" t="str">
        <f>RTD("rtdtrading.rtdserver",, "ITUB4_B_0", "VAL")</f>
        <v>31/12/9999</v>
      </c>
      <c r="BW32">
        <f>RTD("rtdtrading.rtdserver",, "ITUB4_B_0", "CAB")</f>
        <v>0</v>
      </c>
      <c r="BX32" t="str">
        <f>RTD("rtdtrading.rtdserver",, "ITUB4_B_0", "EST")</f>
        <v>Pré-Fechamento</v>
      </c>
      <c r="BY32" t="str">
        <f>RTD("rtdtrading.rtdserver",, "ITUB4_B_0", "BLACK")</f>
        <v>-</v>
      </c>
      <c r="BZ32" t="str">
        <f>RTD("rtdtrading.rtdserver",, "ITUB4_B_0", "IMPVT")</f>
        <v>-</v>
      </c>
      <c r="CA32" t="str">
        <f>RTD("rtdtrading.rtdserver",, "ITUB4_B_0", "DELTA")</f>
        <v>-</v>
      </c>
      <c r="CB32" t="str">
        <f>RTD("rtdtrading.rtdserver",, "ITUB4_B_0", "GAMA")</f>
        <v>-</v>
      </c>
      <c r="CC32" t="str">
        <f>RTD("rtdtrading.rtdserver",, "ITUB4_B_0", "THETA")</f>
        <v>-</v>
      </c>
      <c r="CD32" t="str">
        <f>RTD("rtdtrading.rtdserver",, "ITUB4_B_0", "RHO")</f>
        <v>-</v>
      </c>
      <c r="CE32" t="str">
        <f>RTD("rtdtrading.rtdserver",, "ITUB4_B_0", "VEGA")</f>
        <v>-</v>
      </c>
      <c r="CF32" t="str">
        <f>RTD("rtdtrading.rtdserver",, "ITUB4_B_0", "VIA")</f>
        <v>-</v>
      </c>
      <c r="CG32" t="str">
        <f>RTD("rtdtrading.rtdserver",, "ITUB4_B_0", "VIB")</f>
        <v>-</v>
      </c>
      <c r="CH32" t="str">
        <f>RTD("rtdtrading.rtdserver",, "ITUB4_B_0", "DOBRAR")</f>
        <v>-</v>
      </c>
      <c r="CI32" t="str">
        <f>RTD("rtdtrading.rtdserver",, "ITUB4_B_0", "VIVH")</f>
        <v>-</v>
      </c>
      <c r="CJ32" t="str">
        <f>RTD("rtdtrading.rtdserver",, "ITUB4_B_0", "VINT")</f>
        <v>-</v>
      </c>
      <c r="CK32" t="str">
        <f>RTD("rtdtrading.rtdserver",, "ITUB4_B_0", "VEXT")</f>
        <v>-</v>
      </c>
    </row>
    <row r="33" spans="2:89" x14ac:dyDescent="0.25">
      <c r="B33" t="s">
        <v>234</v>
      </c>
      <c r="C33" t="s">
        <v>231</v>
      </c>
      <c r="D33" t="s">
        <v>235</v>
      </c>
      <c r="E33" s="76">
        <v>270513025</v>
      </c>
      <c r="F33">
        <v>0.69299999999999995</v>
      </c>
      <c r="J33" s="3">
        <f>RTD("rtdtrading.rtdserver",, $B33&amp;"_B_0", J$4)</f>
        <v>55.010000000000005</v>
      </c>
      <c r="K33" s="3">
        <f>RTD("rtdtrading.rtdserver",, $B33&amp;"_B_0", K$4)</f>
        <v>54.550000000000004</v>
      </c>
      <c r="L33" s="3">
        <f>RTD("rtdtrading.rtdserver",, $B33&amp;"_B_0", L$4)</f>
        <v>0</v>
      </c>
      <c r="M33" s="3">
        <f t="shared" si="3"/>
        <v>54.550000000000004</v>
      </c>
      <c r="O33" s="33">
        <f t="shared" si="4"/>
        <v>982.54393736197983</v>
      </c>
      <c r="P33" s="10">
        <f t="shared" si="0"/>
        <v>-8.3621159789128985E-3</v>
      </c>
      <c r="Q33">
        <v>2.8E-5</v>
      </c>
      <c r="R33" s="17">
        <f t="shared" si="5"/>
        <v>-8.3341159789128982E-3</v>
      </c>
      <c r="S33">
        <v>28</v>
      </c>
      <c r="T33" s="10" t="str">
        <f t="shared" si="6"/>
        <v>ITSA4</v>
      </c>
      <c r="U33" s="10">
        <f t="shared" si="1"/>
        <v>9.510909090909705E-4</v>
      </c>
      <c r="V33" t="str">
        <f t="shared" si="7"/>
        <v/>
      </c>
      <c r="W33" s="10" t="str">
        <f t="shared" si="8"/>
        <v>MOTV3</v>
      </c>
      <c r="X33" s="10">
        <f t="shared" si="9"/>
        <v>-6.3775714285714503E-3</v>
      </c>
      <c r="Y33" s="33">
        <f t="shared" si="10"/>
        <v>982.54393736197983</v>
      </c>
      <c r="Z33" s="80">
        <f t="shared" si="11"/>
        <v>0</v>
      </c>
      <c r="AA33" s="2"/>
      <c r="AB33" s="34"/>
      <c r="AC33" s="2"/>
      <c r="AD33" s="2"/>
      <c r="AE33" s="2"/>
      <c r="AF33" s="2"/>
      <c r="AG33" s="2"/>
      <c r="AH33" s="2">
        <f t="shared" ca="1" si="2"/>
        <v>1016.6666666666647</v>
      </c>
      <c r="AI33" s="2">
        <v>30</v>
      </c>
      <c r="AJ33" s="2"/>
      <c r="AM33" t="s">
        <v>186</v>
      </c>
      <c r="AN33" t="str">
        <f>RTD("rtdtrading.rtdserver",, "BRFS3_B_0", "DAT")</f>
        <v>22/09/2025</v>
      </c>
      <c r="AO33" t="str">
        <f>RTD("rtdtrading.rtdserver",, "BRFS3_B_0", "HOR")</f>
        <v>18:01:15</v>
      </c>
      <c r="AP33">
        <f>RTD("rtdtrading.rtdserver",, "BRFS3_B_0", "ULT")</f>
        <v>17.95</v>
      </c>
      <c r="AQ33">
        <f>RTD("rtdtrading.rtdserver",, "BRFS3_B_0", "ABE")</f>
        <v>18.75</v>
      </c>
      <c r="AR33">
        <f>RTD("rtdtrading.rtdserver",, "BRFS3_B_0", "MAX")</f>
        <v>18.77</v>
      </c>
      <c r="AS33">
        <f>RTD("rtdtrading.rtdserver",, "BRFS3_B_0", "MIN")</f>
        <v>17.95</v>
      </c>
      <c r="AT33">
        <f>RTD("rtdtrading.rtdserver",, "BRFS3_B_0", "FEC")</f>
        <v>17.95</v>
      </c>
      <c r="AU33">
        <f>RTD("rtdtrading.rtdserver",, "BRFS3_B_0", "PEX")</f>
        <v>0</v>
      </c>
      <c r="AV33">
        <f>RTD("rtdtrading.rtdserver",, "BRFS3_B_0", "VAR")</f>
        <v>0</v>
      </c>
      <c r="AW33">
        <f>RTD("rtdtrading.rtdserver",, "BRFS3_B_0", "VARPTS")</f>
        <v>0</v>
      </c>
      <c r="AX33">
        <f>RTD("rtdtrading.rtdserver",, "BRFS3_B_0", "MED")</f>
        <v>18.118185171790234</v>
      </c>
      <c r="AY33" t="s">
        <v>238</v>
      </c>
      <c r="AZ33">
        <f>RTD("rtdtrading.rtdserver",, "BRFS3_B_0", "NEG")</f>
        <v>24938</v>
      </c>
      <c r="BA33">
        <f>RTD("rtdtrading.rtdserver",, "BRFS3_B_0", "QUL")</f>
        <v>0</v>
      </c>
      <c r="BB33">
        <f>RTD("rtdtrading.rtdserver",, "BRFS3_B_0", "QTT")</f>
        <v>20737500</v>
      </c>
      <c r="BC33">
        <f>RTD("rtdtrading.rtdserver",, "BRFS3_B_0", "VOL")</f>
        <v>375725865</v>
      </c>
      <c r="BD33">
        <f>RTD("rtdtrading.rtdserver",, "BRFS3_B_0", "OCP")</f>
        <v>0</v>
      </c>
      <c r="BE33">
        <f>RTD("rtdtrading.rtdserver",, "BRFS3_B_0", "OVD")</f>
        <v>0</v>
      </c>
      <c r="BF33">
        <f>RTD("rtdtrading.rtdserver",, "BRFS3_B_0", "VOC")</f>
        <v>0</v>
      </c>
      <c r="BG33">
        <f>RTD("rtdtrading.rtdserver",, "BRFS3_B_0", "VOV")</f>
        <v>0</v>
      </c>
      <c r="BH33">
        <f>RTD("rtdtrading.rtdserver",, "BRFS3_B_0", "AJU")</f>
        <v>0</v>
      </c>
      <c r="BI33">
        <f>RTD("rtdtrading.rtdserver",, "BRFS3_B_0", "AJA")</f>
        <v>0</v>
      </c>
      <c r="BJ33">
        <f>RTD("rtdtrading.rtdserver",, "BRFS3_B_0", "PRT")</f>
        <v>0</v>
      </c>
      <c r="BK33">
        <f>RTD("rtdtrading.rtdserver",, "BRFS3_B_0", "QTE")</f>
        <v>0</v>
      </c>
      <c r="BL33">
        <f>RTD("rtdtrading.rtdserver",, "BRFS3_B_0", "VPJ")</f>
        <v>375725865</v>
      </c>
      <c r="BM33">
        <f>RTD("rtdtrading.rtdserver",, "BRFS3_B_0", "SEM")</f>
        <v>0</v>
      </c>
      <c r="BN33">
        <f>RTD("rtdtrading.rtdserver",, "BRFS3_B_0", "MES")</f>
        <v>0</v>
      </c>
      <c r="BO33">
        <f>RTD("rtdtrading.rtdserver",, "BRFS3_B_0", "3M")</f>
        <v>-5.494482351950138</v>
      </c>
      <c r="BP33">
        <f>RTD("rtdtrading.rtdserver",, "BRFS3_B_0", "6M")</f>
        <v>-3.3782619929377375</v>
      </c>
      <c r="BQ33">
        <f>RTD("rtdtrading.rtdserver",, "BRFS3_B_0", "12M")</f>
        <v>-10.785288270377741</v>
      </c>
      <c r="BR33">
        <f>RTD("rtdtrading.rtdserver",, "BRFS3_B_0", "ANO")</f>
        <v>-21.742504501440905</v>
      </c>
      <c r="BS33">
        <f>RTD("rtdtrading.rtdserver",, "BRFS3_B_0", "TRIM")</f>
        <v>0</v>
      </c>
      <c r="BT33">
        <f>RTD("rtdtrading.rtdserver",, "BRFS3_B_0", "SEMES")</f>
        <v>-1.4591728060255504</v>
      </c>
      <c r="BU33" t="str">
        <f>RTD("rtdtrading.rtdserver",, "BRFS3_B_0", "VEN")</f>
        <v>-</v>
      </c>
      <c r="BV33" t="str">
        <f>RTD("rtdtrading.rtdserver",, "BRFS3_B_0", "VAL")</f>
        <v>31/12/9999</v>
      </c>
      <c r="BW33">
        <f>RTD("rtdtrading.rtdserver",, "BRFS3_B_0", "CAB")</f>
        <v>0</v>
      </c>
      <c r="BX33" t="str">
        <f>RTD("rtdtrading.rtdserver",, "BRFS3_B_0", "EST")</f>
        <v>Fechado</v>
      </c>
      <c r="BY33" t="str">
        <f>RTD("rtdtrading.rtdserver",, "BRFS3_B_0", "BLACK")</f>
        <v>-</v>
      </c>
      <c r="BZ33" t="str">
        <f>RTD("rtdtrading.rtdserver",, "BRFS3_B_0", "IMPVT")</f>
        <v>-</v>
      </c>
      <c r="CA33" t="str">
        <f>RTD("rtdtrading.rtdserver",, "BRFS3_B_0", "DELTA")</f>
        <v>-</v>
      </c>
      <c r="CB33" t="str">
        <f>RTD("rtdtrading.rtdserver",, "BRFS3_B_0", "GAMA")</f>
        <v>-</v>
      </c>
      <c r="CC33" t="str">
        <f>RTD("rtdtrading.rtdserver",, "BRFS3_B_0", "THETA")</f>
        <v>-</v>
      </c>
      <c r="CD33" t="str">
        <f>RTD("rtdtrading.rtdserver",, "BRFS3_B_0", "RHO")</f>
        <v>-</v>
      </c>
      <c r="CE33" t="str">
        <f>RTD("rtdtrading.rtdserver",, "BRFS3_B_0", "VEGA")</f>
        <v>-</v>
      </c>
      <c r="CF33" t="str">
        <f>RTD("rtdtrading.rtdserver",, "BRFS3_B_0", "VIA")</f>
        <v>-</v>
      </c>
      <c r="CG33" t="str">
        <f>RTD("rtdtrading.rtdserver",, "BRFS3_B_0", "VIB")</f>
        <v>-</v>
      </c>
      <c r="CH33" t="str">
        <f>RTD("rtdtrading.rtdserver",, "BRFS3_B_0", "DOBRAR")</f>
        <v>-</v>
      </c>
      <c r="CI33" t="str">
        <f>RTD("rtdtrading.rtdserver",, "BRFS3_B_0", "VIVH")</f>
        <v>-</v>
      </c>
      <c r="CJ33" t="str">
        <f>RTD("rtdtrading.rtdserver",, "BRFS3_B_0", "VINT")</f>
        <v>-</v>
      </c>
      <c r="CK33" t="str">
        <f>RTD("rtdtrading.rtdserver",, "BRFS3_B_0", "VEXT")</f>
        <v>-</v>
      </c>
    </row>
    <row r="34" spans="2:89" x14ac:dyDescent="0.25">
      <c r="B34" t="s">
        <v>215</v>
      </c>
      <c r="C34" t="s">
        <v>237</v>
      </c>
      <c r="D34" t="s">
        <v>142</v>
      </c>
      <c r="E34" s="76">
        <v>733564938</v>
      </c>
      <c r="F34">
        <v>2.8490000000000002</v>
      </c>
      <c r="J34" s="3">
        <f>RTD("rtdtrading.rtdserver",, $B34&amp;"_B_0", J$4)</f>
        <v>78.8</v>
      </c>
      <c r="K34" s="3">
        <f>RTD("rtdtrading.rtdserver",, $B34&amp;"_B_0", K$4)</f>
        <v>82.65</v>
      </c>
      <c r="L34" s="3">
        <f>RTD("rtdtrading.rtdserver",, $B34&amp;"_B_0", L$4)</f>
        <v>0</v>
      </c>
      <c r="M34" s="3">
        <f t="shared" si="3"/>
        <v>82.65</v>
      </c>
      <c r="O34" s="33">
        <f t="shared" si="4"/>
        <v>4036.9230171748318</v>
      </c>
      <c r="P34" s="10">
        <f t="shared" si="0"/>
        <v>4.8857868020304673E-2</v>
      </c>
      <c r="Q34">
        <v>2.9E-5</v>
      </c>
      <c r="R34" s="17">
        <f t="shared" si="5"/>
        <v>4.8886868020304675E-2</v>
      </c>
      <c r="S34">
        <v>29</v>
      </c>
      <c r="T34" s="10" t="str">
        <f t="shared" si="6"/>
        <v>BBSE3</v>
      </c>
      <c r="U34" s="10">
        <f t="shared" si="1"/>
        <v>9.3149922958404147E-4</v>
      </c>
      <c r="V34" t="str">
        <f t="shared" si="7"/>
        <v/>
      </c>
      <c r="W34" s="10" t="str">
        <f t="shared" si="8"/>
        <v>BRAP4</v>
      </c>
      <c r="X34" s="10">
        <f t="shared" si="9"/>
        <v>-5.1893067590987434E-3</v>
      </c>
      <c r="Y34" s="33">
        <f t="shared" si="10"/>
        <v>4036.9230171748318</v>
      </c>
      <c r="Z34" s="80">
        <f t="shared" si="11"/>
        <v>0</v>
      </c>
      <c r="AA34" s="2"/>
      <c r="AB34" s="2"/>
      <c r="AC34" s="2"/>
      <c r="AD34" s="2"/>
      <c r="AE34" s="2"/>
      <c r="AF34" s="2"/>
      <c r="AG34" s="2"/>
      <c r="AH34" s="2">
        <f t="shared" ca="1" si="2"/>
        <v>948.88888888888687</v>
      </c>
      <c r="AI34" s="2">
        <v>31</v>
      </c>
      <c r="AJ34" s="2"/>
      <c r="AM34" t="s">
        <v>241</v>
      </c>
      <c r="AN34" t="str">
        <f>RTD("rtdtrading.rtdserver",, "LREN3_B_0", "DAT")</f>
        <v>14/10/2025</v>
      </c>
      <c r="AO34" t="str">
        <f>RTD("rtdtrading.rtdserver",, "LREN3_B_0", "HOR")</f>
        <v>17:07:51</v>
      </c>
      <c r="AP34">
        <f>RTD("rtdtrading.rtdserver",, "LREN3_B_0", "ULT")</f>
        <v>14.32</v>
      </c>
      <c r="AQ34">
        <f>RTD("rtdtrading.rtdserver",, "LREN3_B_0", "ABE")</f>
        <v>14.07</v>
      </c>
      <c r="AR34">
        <f>RTD("rtdtrading.rtdserver",, "LREN3_B_0", "MAX")</f>
        <v>14.46</v>
      </c>
      <c r="AS34">
        <f>RTD("rtdtrading.rtdserver",, "LREN3_B_0", "MIN")</f>
        <v>13.93</v>
      </c>
      <c r="AT34">
        <f>RTD("rtdtrading.rtdserver",, "LREN3_B_0", "FEC")</f>
        <v>14.14</v>
      </c>
      <c r="AU34">
        <f>RTD("rtdtrading.rtdserver",, "LREN3_B_0", "PEX")</f>
        <v>0</v>
      </c>
      <c r="AV34">
        <f>RTD("rtdtrading.rtdserver",, "LREN3_B_0", "VAR")</f>
        <v>1.272984441301271</v>
      </c>
      <c r="AW34">
        <f>RTD("rtdtrading.rtdserver",, "LREN3_B_0", "VARPTS")</f>
        <v>0.17999999999999972</v>
      </c>
      <c r="AX34">
        <f>RTD("rtdtrading.rtdserver",, "LREN3_B_0", "MED")</f>
        <v>14.289583561238821</v>
      </c>
      <c r="AY34" t="s">
        <v>242</v>
      </c>
      <c r="AZ34">
        <f>RTD("rtdtrading.rtdserver",, "LREN3_B_0", "NEG")</f>
        <v>22917</v>
      </c>
      <c r="BA34">
        <f>RTD("rtdtrading.rtdserver",, "LREN3_B_0", "QUL")</f>
        <v>0</v>
      </c>
      <c r="BB34">
        <f>RTD("rtdtrading.rtdserver",, "LREN3_B_0", "QTT")</f>
        <v>13529000</v>
      </c>
      <c r="BC34">
        <f>RTD("rtdtrading.rtdserver",, "LREN3_B_0", "VOL")</f>
        <v>193323776</v>
      </c>
      <c r="BD34">
        <f>RTD("rtdtrading.rtdserver",, "LREN3_B_0", "OCP")</f>
        <v>14.31</v>
      </c>
      <c r="BE34">
        <f>RTD("rtdtrading.rtdserver",, "LREN3_B_0", "OVD")</f>
        <v>14.43</v>
      </c>
      <c r="BF34">
        <f>RTD("rtdtrading.rtdserver",, "LREN3_B_0", "VOC")</f>
        <v>500</v>
      </c>
      <c r="BG34">
        <f>RTD("rtdtrading.rtdserver",, "LREN3_B_0", "VOV")</f>
        <v>600</v>
      </c>
      <c r="BH34">
        <f>RTD("rtdtrading.rtdserver",, "LREN3_B_0", "AJU")</f>
        <v>0</v>
      </c>
      <c r="BI34">
        <f>RTD("rtdtrading.rtdserver",, "LREN3_B_0", "AJA")</f>
        <v>0</v>
      </c>
      <c r="BJ34">
        <f>RTD("rtdtrading.rtdserver",, "LREN3_B_0", "PRT")</f>
        <v>0</v>
      </c>
      <c r="BK34">
        <f>RTD("rtdtrading.rtdserver",, "LREN3_B_0", "QTE")</f>
        <v>0</v>
      </c>
      <c r="BL34">
        <f>RTD("rtdtrading.rtdserver",, "LREN3_B_0", "VPJ")</f>
        <v>193323776</v>
      </c>
      <c r="BM34">
        <f>RTD("rtdtrading.rtdserver",, "LREN3_B_0", "SEM")</f>
        <v>2.4320457796852635</v>
      </c>
      <c r="BN34">
        <f>RTD("rtdtrading.rtdserver",, "LREN3_B_0", "MES")</f>
        <v>-5.3536021150033077</v>
      </c>
      <c r="BO34">
        <f>RTD("rtdtrading.rtdserver",, "LREN3_B_0", "3M")</f>
        <v>-20.253051768689303</v>
      </c>
      <c r="BP34">
        <f>RTD("rtdtrading.rtdserver",, "LREN3_B_0", "6M")</f>
        <v>14.241039019058787</v>
      </c>
      <c r="BQ34">
        <f>RTD("rtdtrading.rtdserver",, "LREN3_B_0", "12M")</f>
        <v>-11.916492898574797</v>
      </c>
      <c r="BR34">
        <f>RTD("rtdtrading.rtdserver",, "LREN3_B_0", "ANO")</f>
        <v>22.190555830503268</v>
      </c>
      <c r="BS34">
        <f>RTD("rtdtrading.rtdserver",, "LREN3_B_0", "TRIM")</f>
        <v>-5.3536021150033077</v>
      </c>
      <c r="BT34">
        <f>RTD("rtdtrading.rtdserver",, "LREN3_B_0", "SEMES")</f>
        <v>-25.69723699571929</v>
      </c>
      <c r="BU34" t="str">
        <f>RTD("rtdtrading.rtdserver",, "LREN3_B_0", "VEN")</f>
        <v>-</v>
      </c>
      <c r="BV34" t="str">
        <f>RTD("rtdtrading.rtdserver",, "LREN3_B_0", "VAL")</f>
        <v>31/12/9999</v>
      </c>
      <c r="BW34">
        <f>RTD("rtdtrading.rtdserver",, "LREN3_B_0", "CAB")</f>
        <v>0</v>
      </c>
      <c r="BX34" t="str">
        <f>RTD("rtdtrading.rtdserver",, "LREN3_B_0", "EST")</f>
        <v>Pré-Fechamento</v>
      </c>
      <c r="BY34" t="str">
        <f>RTD("rtdtrading.rtdserver",, "LREN3_B_0", "BLACK")</f>
        <v>-</v>
      </c>
      <c r="BZ34" t="str">
        <f>RTD("rtdtrading.rtdserver",, "LREN3_B_0", "IMPVT")</f>
        <v>-</v>
      </c>
      <c r="CA34" t="str">
        <f>RTD("rtdtrading.rtdserver",, "LREN3_B_0", "DELTA")</f>
        <v>-</v>
      </c>
      <c r="CB34" t="str">
        <f>RTD("rtdtrading.rtdserver",, "LREN3_B_0", "GAMA")</f>
        <v>-</v>
      </c>
      <c r="CC34" t="str">
        <f>RTD("rtdtrading.rtdserver",, "LREN3_B_0", "THETA")</f>
        <v>-</v>
      </c>
      <c r="CD34" t="str">
        <f>RTD("rtdtrading.rtdserver",, "LREN3_B_0", "RHO")</f>
        <v>-</v>
      </c>
      <c r="CE34" t="str">
        <f>RTD("rtdtrading.rtdserver",, "LREN3_B_0", "VEGA")</f>
        <v>-</v>
      </c>
      <c r="CF34" t="str">
        <f>RTD("rtdtrading.rtdserver",, "LREN3_B_0", "VIA")</f>
        <v>-</v>
      </c>
      <c r="CG34" t="str">
        <f>RTD("rtdtrading.rtdserver",, "LREN3_B_0", "VIB")</f>
        <v>-</v>
      </c>
      <c r="CH34" t="str">
        <f>RTD("rtdtrading.rtdserver",, "LREN3_B_0", "DOBRAR")</f>
        <v>-</v>
      </c>
      <c r="CI34" t="str">
        <f>RTD("rtdtrading.rtdserver",, "LREN3_B_0", "VIVH")</f>
        <v>-</v>
      </c>
      <c r="CJ34" t="str">
        <f>RTD("rtdtrading.rtdserver",, "LREN3_B_0", "VINT")</f>
        <v>-</v>
      </c>
      <c r="CK34" t="str">
        <f>RTD("rtdtrading.rtdserver",, "LREN3_B_0", "VEXT")</f>
        <v>-</v>
      </c>
    </row>
    <row r="35" spans="2:89" x14ac:dyDescent="0.25">
      <c r="B35" t="s">
        <v>239</v>
      </c>
      <c r="C35" t="s">
        <v>240</v>
      </c>
      <c r="D35" t="s">
        <v>192</v>
      </c>
      <c r="E35" s="76">
        <v>325503046</v>
      </c>
      <c r="F35">
        <v>0.73499999999999999</v>
      </c>
      <c r="J35" s="3">
        <f>RTD("rtdtrading.rtdserver",, $B35&amp;"_B_0", J$4)</f>
        <v>48.2</v>
      </c>
      <c r="K35" s="3">
        <f>RTD("rtdtrading.rtdserver",, $B35&amp;"_B_0", K$4)</f>
        <v>48.04</v>
      </c>
      <c r="L35" s="3">
        <f>RTD("rtdtrading.rtdserver",, $B35&amp;"_B_0", L$4)</f>
        <v>0</v>
      </c>
      <c r="M35" s="3">
        <f t="shared" si="3"/>
        <v>48.04</v>
      </c>
      <c r="O35" s="33">
        <f t="shared" si="4"/>
        <v>1041.1830757797243</v>
      </c>
      <c r="P35" s="10">
        <f t="shared" si="0"/>
        <v>-3.3195020746888959E-3</v>
      </c>
      <c r="Q35">
        <v>3.0000000000000001E-5</v>
      </c>
      <c r="R35" s="17">
        <f t="shared" si="5"/>
        <v>-3.2895020746888958E-3</v>
      </c>
      <c r="S35">
        <v>30</v>
      </c>
      <c r="T35" s="10" t="str">
        <f t="shared" si="6"/>
        <v>VIVT3</v>
      </c>
      <c r="U35" s="10">
        <f t="shared" si="1"/>
        <v>6.9177068484653232E-4</v>
      </c>
      <c r="V35" t="str">
        <f t="shared" si="7"/>
        <v/>
      </c>
      <c r="W35" s="10" t="str">
        <f t="shared" si="8"/>
        <v>CYRE3</v>
      </c>
      <c r="X35" s="10">
        <f t="shared" si="9"/>
        <v>-5.1527701070073735E-3</v>
      </c>
      <c r="Y35" s="33">
        <f t="shared" si="10"/>
        <v>1041.1830757797243</v>
      </c>
      <c r="Z35" s="80">
        <f t="shared" si="11"/>
        <v>0</v>
      </c>
      <c r="AA35" s="2"/>
      <c r="AB35" s="2"/>
      <c r="AC35" s="2"/>
      <c r="AD35" s="2"/>
      <c r="AE35" s="2"/>
      <c r="AF35" s="2"/>
      <c r="AG35" s="2"/>
      <c r="AH35" s="2">
        <f t="shared" ca="1" si="2"/>
        <v>881.11111111110904</v>
      </c>
      <c r="AI35" s="2">
        <v>32</v>
      </c>
      <c r="AJ35" s="2"/>
      <c r="AM35" t="s">
        <v>245</v>
      </c>
      <c r="AN35" t="str">
        <f>RTD("rtdtrading.rtdserver",, "MGLU3_B_0", "DAT")</f>
        <v>14/10/2025</v>
      </c>
      <c r="AO35" t="str">
        <f>RTD("rtdtrading.rtdserver",, "MGLU3_B_0", "HOR")</f>
        <v>17:07:37</v>
      </c>
      <c r="AP35">
        <f>RTD("rtdtrading.rtdserver",, "MGLU3_B_0", "ULT")</f>
        <v>8.7800000000000011</v>
      </c>
      <c r="AQ35">
        <f>RTD("rtdtrading.rtdserver",, "MGLU3_B_0", "ABE")</f>
        <v>8.5299999999999994</v>
      </c>
      <c r="AR35">
        <f>RTD("rtdtrading.rtdserver",, "MGLU3_B_0", "MAX")</f>
        <v>8.8000000000000007</v>
      </c>
      <c r="AS35">
        <f>RTD("rtdtrading.rtdserver",, "MGLU3_B_0", "MIN")</f>
        <v>8.4600000000000009</v>
      </c>
      <c r="AT35">
        <f>RTD("rtdtrading.rtdserver",, "MGLU3_B_0", "FEC")</f>
        <v>8.6</v>
      </c>
      <c r="AU35">
        <f>RTD("rtdtrading.rtdserver",, "MGLU3_B_0", "PEX")</f>
        <v>0</v>
      </c>
      <c r="AV35">
        <f>RTD("rtdtrading.rtdserver",, "MGLU3_B_0", "VAR")</f>
        <v>2.093023255813971</v>
      </c>
      <c r="AW35">
        <f>RTD("rtdtrading.rtdserver",, "MGLU3_B_0", "VARPTS")</f>
        <v>0.18000000000000149</v>
      </c>
      <c r="AX35">
        <f>RTD("rtdtrading.rtdserver",, "MGLU3_B_0", "MED")</f>
        <v>8.6572823143179392</v>
      </c>
      <c r="AY35" t="s">
        <v>246</v>
      </c>
      <c r="AZ35">
        <f>RTD("rtdtrading.rtdserver",, "MGLU3_B_0", "NEG")</f>
        <v>12013</v>
      </c>
      <c r="BA35">
        <f>RTD("rtdtrading.rtdserver",, "MGLU3_B_0", "QUL")</f>
        <v>0</v>
      </c>
      <c r="BB35">
        <f>RTD("rtdtrading.rtdserver",, "MGLU3_B_0", "QTT")</f>
        <v>13920300</v>
      </c>
      <c r="BC35">
        <f>RTD("rtdtrading.rtdserver",, "MGLU3_B_0", "VOL")</f>
        <v>120511967</v>
      </c>
      <c r="BD35">
        <f>RTD("rtdtrading.rtdserver",, "MGLU3_B_0", "OCP")</f>
        <v>8.66</v>
      </c>
      <c r="BE35">
        <f>RTD("rtdtrading.rtdserver",, "MGLU3_B_0", "OVD")</f>
        <v>8.8000000000000007</v>
      </c>
      <c r="BF35">
        <f>RTD("rtdtrading.rtdserver",, "MGLU3_B_0", "VOC")</f>
        <v>200</v>
      </c>
      <c r="BG35">
        <f>RTD("rtdtrading.rtdserver",, "MGLU3_B_0", "VOV")</f>
        <v>300</v>
      </c>
      <c r="BH35">
        <f>RTD("rtdtrading.rtdserver",, "MGLU3_B_0", "AJU")</f>
        <v>0</v>
      </c>
      <c r="BI35">
        <f>RTD("rtdtrading.rtdserver",, "MGLU3_B_0", "AJA")</f>
        <v>0</v>
      </c>
      <c r="BJ35">
        <f>RTD("rtdtrading.rtdserver",, "MGLU3_B_0", "PRT")</f>
        <v>0</v>
      </c>
      <c r="BK35">
        <f>RTD("rtdtrading.rtdserver",, "MGLU3_B_0", "QTE")</f>
        <v>0</v>
      </c>
      <c r="BL35">
        <f>RTD("rtdtrading.rtdserver",, "MGLU3_B_0", "VPJ")</f>
        <v>120511967</v>
      </c>
      <c r="BM35">
        <f>RTD("rtdtrading.rtdserver",, "MGLU3_B_0", "SEM")</f>
        <v>-0.34052213393869873</v>
      </c>
      <c r="BN35">
        <f>RTD("rtdtrading.rtdserver",, "MGLU3_B_0", "MES")</f>
        <v>-8.5416666666666519</v>
      </c>
      <c r="BO35">
        <f>RTD("rtdtrading.rtdserver",, "MGLU3_B_0", "3M")</f>
        <v>10.440251572327055</v>
      </c>
      <c r="BP35">
        <f>RTD("rtdtrading.rtdserver",, "MGLU3_B_0", "6M")</f>
        <v>-13.616686343959058</v>
      </c>
      <c r="BQ35">
        <f>RTD("rtdtrading.rtdserver",, "MGLU3_B_0", "12M")</f>
        <v>-4.2937027872551328</v>
      </c>
      <c r="BR35">
        <f>RTD("rtdtrading.rtdserver",, "MGLU3_B_0", "ANO")</f>
        <v>39.142010427726994</v>
      </c>
      <c r="BS35">
        <f>RTD("rtdtrading.rtdserver",, "MGLU3_B_0", "TRIM")</f>
        <v>-8.5416666666666519</v>
      </c>
      <c r="BT35">
        <f>RTD("rtdtrading.rtdserver",, "MGLU3_B_0", "SEMES")</f>
        <v>-10.862944162436532</v>
      </c>
      <c r="BU35" t="str">
        <f>RTD("rtdtrading.rtdserver",, "MGLU3_B_0", "VEN")</f>
        <v>-</v>
      </c>
      <c r="BV35" t="str">
        <f>RTD("rtdtrading.rtdserver",, "MGLU3_B_0", "VAL")</f>
        <v>31/12/9999</v>
      </c>
      <c r="BW35">
        <f>RTD("rtdtrading.rtdserver",, "MGLU3_B_0", "CAB")</f>
        <v>0</v>
      </c>
      <c r="BX35" t="str">
        <f>RTD("rtdtrading.rtdserver",, "MGLU3_B_0", "EST")</f>
        <v>Pré-Fechamento</v>
      </c>
      <c r="BY35" t="str">
        <f>RTD("rtdtrading.rtdserver",, "MGLU3_B_0", "BLACK")</f>
        <v>-</v>
      </c>
      <c r="BZ35" t="str">
        <f>RTD("rtdtrading.rtdserver",, "MGLU3_B_0", "IMPVT")</f>
        <v>-</v>
      </c>
      <c r="CA35" t="str">
        <f>RTD("rtdtrading.rtdserver",, "MGLU3_B_0", "DELTA")</f>
        <v>-</v>
      </c>
      <c r="CB35" t="str">
        <f>RTD("rtdtrading.rtdserver",, "MGLU3_B_0", "GAMA")</f>
        <v>-</v>
      </c>
      <c r="CC35" t="str">
        <f>RTD("rtdtrading.rtdserver",, "MGLU3_B_0", "THETA")</f>
        <v>-</v>
      </c>
      <c r="CD35" t="str">
        <f>RTD("rtdtrading.rtdserver",, "MGLU3_B_0", "RHO")</f>
        <v>-</v>
      </c>
      <c r="CE35" t="str">
        <f>RTD("rtdtrading.rtdserver",, "MGLU3_B_0", "VEGA")</f>
        <v>-</v>
      </c>
      <c r="CF35" t="str">
        <f>RTD("rtdtrading.rtdserver",, "MGLU3_B_0", "VIA")</f>
        <v>-</v>
      </c>
      <c r="CG35" t="str">
        <f>RTD("rtdtrading.rtdserver",, "MGLU3_B_0", "VIB")</f>
        <v>-</v>
      </c>
      <c r="CH35" t="str">
        <f>RTD("rtdtrading.rtdserver",, "MGLU3_B_0", "DOBRAR")</f>
        <v>-</v>
      </c>
      <c r="CI35" t="str">
        <f>RTD("rtdtrading.rtdserver",, "MGLU3_B_0", "VIVH")</f>
        <v>-</v>
      </c>
      <c r="CJ35" t="str">
        <f>RTD("rtdtrading.rtdserver",, "MGLU3_B_0", "VINT")</f>
        <v>-</v>
      </c>
      <c r="CK35" t="str">
        <f>RTD("rtdtrading.rtdserver",, "MGLU3_B_0", "VEXT")</f>
        <v>-</v>
      </c>
    </row>
    <row r="36" spans="2:89" x14ac:dyDescent="0.25">
      <c r="B36" t="s">
        <v>243</v>
      </c>
      <c r="C36" t="s">
        <v>244</v>
      </c>
      <c r="D36" t="s">
        <v>142</v>
      </c>
      <c r="E36" s="76">
        <v>1912620486</v>
      </c>
      <c r="F36">
        <v>1.466</v>
      </c>
      <c r="J36" s="3">
        <f>RTD("rtdtrading.rtdserver",, $B36&amp;"_B_0", J$4)</f>
        <v>16.48</v>
      </c>
      <c r="K36" s="3">
        <f>RTD("rtdtrading.rtdserver",, $B36&amp;"_B_0", K$4)</f>
        <v>16.310000000000002</v>
      </c>
      <c r="L36" s="3">
        <f>RTD("rtdtrading.rtdserver",, $B36&amp;"_B_0", L$4)</f>
        <v>0</v>
      </c>
      <c r="M36" s="3">
        <f t="shared" si="3"/>
        <v>16.310000000000002</v>
      </c>
      <c r="O36" s="33">
        <f t="shared" si="4"/>
        <v>2077.0732309442001</v>
      </c>
      <c r="P36" s="10">
        <f t="shared" si="0"/>
        <v>-1.0315533980582381E-2</v>
      </c>
      <c r="Q36">
        <v>3.1000000000000001E-5</v>
      </c>
      <c r="R36" s="17">
        <f t="shared" si="5"/>
        <v>-1.0284533980582381E-2</v>
      </c>
      <c r="S36">
        <v>31</v>
      </c>
      <c r="T36" s="10" t="str">
        <f t="shared" si="6"/>
        <v>VIVA3</v>
      </c>
      <c r="U36" s="10">
        <f t="shared" si="1"/>
        <v>4.5037037037035424E-4</v>
      </c>
      <c r="V36" t="str">
        <f t="shared" si="7"/>
        <v/>
      </c>
      <c r="W36" s="10" t="str">
        <f t="shared" si="8"/>
        <v>VBBR3</v>
      </c>
      <c r="X36" s="10">
        <f t="shared" si="9"/>
        <v>-4.9971421319797106E-3</v>
      </c>
      <c r="Y36" s="33">
        <f t="shared" si="10"/>
        <v>2077.0732309442001</v>
      </c>
      <c r="Z36" s="80">
        <f t="shared" si="11"/>
        <v>0</v>
      </c>
      <c r="AA36" s="2"/>
      <c r="AB36" s="2"/>
      <c r="AC36" s="2"/>
      <c r="AD36" s="2"/>
      <c r="AE36" s="2"/>
      <c r="AF36" s="2"/>
      <c r="AG36" s="2"/>
      <c r="AH36" s="2">
        <f t="shared" ca="1" si="2"/>
        <v>813.33333333333121</v>
      </c>
      <c r="AI36" s="2">
        <v>33</v>
      </c>
      <c r="AJ36" s="2"/>
      <c r="AM36" t="s">
        <v>8</v>
      </c>
      <c r="AN36" t="str">
        <f>RTD("rtdtrading.rtdserver",, "WINFUT_F_0", "DAT")</f>
        <v>15/10/2025</v>
      </c>
      <c r="AO36" t="str">
        <f>RTD("rtdtrading.rtdserver",, "WINFUT_F_0", "HOR")</f>
        <v>09:23:34</v>
      </c>
      <c r="AP36">
        <f>RTD("rtdtrading.rtdserver",, "WINFUT_F_0", "ULT")</f>
        <v>144710</v>
      </c>
      <c r="AQ36">
        <f>RTD("rtdtrading.rtdserver",, "WINFUT_F_0", "ABE")</f>
        <v>145145</v>
      </c>
      <c r="AR36">
        <f>RTD("rtdtrading.rtdserver",, "WINFUT_F_0", "MAX")</f>
        <v>145405</v>
      </c>
      <c r="AS36">
        <f>RTD("rtdtrading.rtdserver",, "WINFUT_F_0", "MIN")</f>
        <v>144665</v>
      </c>
      <c r="AT36">
        <f>RTD("rtdtrading.rtdserver",, "WINFUT_F_0", "FEC")</f>
        <v>144915</v>
      </c>
      <c r="AU36">
        <f>RTD("rtdtrading.rtdserver",, "WINFUT_F_0", "PEX")</f>
        <v>0</v>
      </c>
      <c r="AV36">
        <f>RTD("rtdtrading.rtdserver",, "WINFUT_F_0", "VAR")</f>
        <v>-0.14146223648345582</v>
      </c>
      <c r="AW36">
        <f>RTD("rtdtrading.rtdserver",, "WINFUT_F_0", "VARPTS")</f>
        <v>-205</v>
      </c>
      <c r="AX36">
        <f>RTD("rtdtrading.rtdserver",, "WINFUT_F_0", "MED")</f>
        <v>144973.67228390812</v>
      </c>
      <c r="AY36" t="s">
        <v>249</v>
      </c>
      <c r="AZ36">
        <f>RTD("rtdtrading.rtdserver",, "WINFUT_F_0", "NEG")</f>
        <v>463297</v>
      </c>
      <c r="BA36">
        <f>RTD("rtdtrading.rtdserver",, "WINFUT_F_0", "QUL")</f>
        <v>4</v>
      </c>
      <c r="BB36">
        <f>RTD("rtdtrading.rtdserver",, "WINFUT_F_0", "QTT")</f>
        <v>1287346</v>
      </c>
      <c r="BC36">
        <f>RTD("rtdtrading.rtdserver",, "WINFUT_F_0", "VOL")</f>
        <v>37326255424</v>
      </c>
      <c r="BD36">
        <f>RTD("rtdtrading.rtdserver",, "WINFUT_F_0", "OCP")</f>
        <v>144710</v>
      </c>
      <c r="BE36">
        <f>RTD("rtdtrading.rtdserver",, "WINFUT_F_0", "OVD")</f>
        <v>144715</v>
      </c>
      <c r="BF36">
        <f>RTD("rtdtrading.rtdserver",, "WINFUT_F_0", "VOC")</f>
        <v>92</v>
      </c>
      <c r="BG36">
        <f>RTD("rtdtrading.rtdserver",, "WINFUT_F_0", "VOV")</f>
        <v>19</v>
      </c>
      <c r="BH36">
        <f>RTD("rtdtrading.rtdserver",, "WINFUT_F_0", "AJU")</f>
        <v>0</v>
      </c>
      <c r="BI36">
        <f>RTD("rtdtrading.rtdserver",, "WINFUT_F_0", "AJA")</f>
        <v>141688</v>
      </c>
      <c r="BJ36">
        <f>RTD("rtdtrading.rtdserver",, "WINFUT_F_0", "PRT")</f>
        <v>0</v>
      </c>
      <c r="BK36">
        <f>RTD("rtdtrading.rtdserver",, "WINFUT_F_0", "QTE")</f>
        <v>0</v>
      </c>
      <c r="BL36">
        <f>RTD("rtdtrading.rtdserver",, "WINFUT_F_0", "VPJ")</f>
        <v>955570485807.72754</v>
      </c>
      <c r="BM36">
        <f>RTD("rtdtrading.rtdserver",, "WINFUT_F_0", "SEM")</f>
        <v>0.88309482090688018</v>
      </c>
      <c r="BN36">
        <f>RTD("rtdtrading.rtdserver",, "WINFUT_F_0", "MES")</f>
        <v>-3.7690403769705476</v>
      </c>
      <c r="BO36">
        <f>RTD("rtdtrading.rtdserver",, "WINFUT_F_0", "3M")</f>
        <v>1.0276461514896746</v>
      </c>
      <c r="BP36">
        <f>RTD("rtdtrading.rtdserver",, "WINFUT_F_0", "6M")</f>
        <v>3.1069087756441109</v>
      </c>
      <c r="BQ36">
        <f>RTD("rtdtrading.rtdserver",, "WINFUT_F_0", "12M")</f>
        <v>-2.7046899418796566</v>
      </c>
      <c r="BR36">
        <f>RTD("rtdtrading.rtdserver",, "WINFUT_F_0", "ANO")</f>
        <v>7.6779649779855808</v>
      </c>
      <c r="BS36">
        <f>RTD("rtdtrading.rtdserver",, "WINFUT_F_0", "TRIM")</f>
        <v>-3.7690403769705476</v>
      </c>
      <c r="BT36">
        <f>RTD("rtdtrading.rtdserver",, "WINFUT_F_0", "SEMES")</f>
        <v>-1.7930988053993453</v>
      </c>
      <c r="BU36" t="str">
        <f>RTD("rtdtrading.rtdserver",, "WINFUT_F_0", "VEN")</f>
        <v>17/12/2025</v>
      </c>
      <c r="BV36" t="str">
        <f>RTD("rtdtrading.rtdserver",, "WINFUT_F_0", "VAL")</f>
        <v>17/12/2025</v>
      </c>
      <c r="BW36">
        <f>RTD("rtdtrading.rtdserver",, "WINFUT_F_0", "CAB")</f>
        <v>943649</v>
      </c>
      <c r="BX36" t="str">
        <f>RTD("rtdtrading.rtdserver",, "WINFUT_F_0", "EST")</f>
        <v>Aberto</v>
      </c>
      <c r="BY36" t="str">
        <f>RTD("rtdtrading.rtdserver",, "WINFUT_F_0", "BLACK")</f>
        <v>-</v>
      </c>
      <c r="BZ36" t="str">
        <f>RTD("rtdtrading.rtdserver",, "WINFUT_F_0", "IMPVT")</f>
        <v>-</v>
      </c>
      <c r="CA36" t="str">
        <f>RTD("rtdtrading.rtdserver",, "WINFUT_F_0", "DELTA")</f>
        <v>-</v>
      </c>
      <c r="CB36" t="str">
        <f>RTD("rtdtrading.rtdserver",, "WINFUT_F_0", "GAMA")</f>
        <v>-</v>
      </c>
      <c r="CC36" t="str">
        <f>RTD("rtdtrading.rtdserver",, "WINFUT_F_0", "THETA")</f>
        <v>-</v>
      </c>
      <c r="CD36" t="str">
        <f>RTD("rtdtrading.rtdserver",, "WINFUT_F_0", "RHO")</f>
        <v>-</v>
      </c>
      <c r="CE36" t="str">
        <f>RTD("rtdtrading.rtdserver",, "WINFUT_F_0", "VEGA")</f>
        <v>-</v>
      </c>
      <c r="CF36" t="str">
        <f>RTD("rtdtrading.rtdserver",, "WINFUT_F_0", "VIA")</f>
        <v>-</v>
      </c>
      <c r="CG36" t="str">
        <f>RTD("rtdtrading.rtdserver",, "WINFUT_F_0", "VIB")</f>
        <v>-</v>
      </c>
      <c r="CH36" t="str">
        <f>RTD("rtdtrading.rtdserver",, "WINFUT_F_0", "DOBRAR")</f>
        <v>-</v>
      </c>
      <c r="CI36" t="str">
        <f>RTD("rtdtrading.rtdserver",, "WINFUT_F_0", "VIVH")</f>
        <v>-</v>
      </c>
      <c r="CJ36" t="str">
        <f>RTD("rtdtrading.rtdserver",, "WINFUT_F_0", "VINT")</f>
        <v>-</v>
      </c>
      <c r="CK36" t="str">
        <f>RTD("rtdtrading.rtdserver",, "WINFUT_F_0", "VEXT")</f>
        <v>-</v>
      </c>
    </row>
    <row r="37" spans="2:89" x14ac:dyDescent="0.25">
      <c r="B37" t="s">
        <v>247</v>
      </c>
      <c r="C37" t="s">
        <v>248</v>
      </c>
      <c r="D37" t="s">
        <v>142</v>
      </c>
      <c r="E37" s="76">
        <v>255215967</v>
      </c>
      <c r="F37">
        <v>0.48</v>
      </c>
      <c r="J37" s="3">
        <f>RTD("rtdtrading.rtdserver",, $B37&amp;"_B_0", J$4)</f>
        <v>41.5</v>
      </c>
      <c r="K37" s="3">
        <f>RTD("rtdtrading.rtdserver",, $B37&amp;"_B_0", K$4)</f>
        <v>40.050000000000004</v>
      </c>
      <c r="L37" s="3">
        <f>RTD("rtdtrading.rtdserver",, $B37&amp;"_B_0", L$4)</f>
        <v>0</v>
      </c>
      <c r="M37" s="3">
        <f t="shared" si="3"/>
        <v>40.050000000000004</v>
      </c>
      <c r="O37" s="33">
        <f t="shared" si="4"/>
        <v>680.58035088705333</v>
      </c>
      <c r="P37" s="10">
        <f t="shared" si="0"/>
        <v>-3.4939759036144435E-2</v>
      </c>
      <c r="Q37">
        <v>3.1999999999999999E-5</v>
      </c>
      <c r="R37" s="17">
        <f t="shared" si="5"/>
        <v>-3.4907759036144438E-2</v>
      </c>
      <c r="S37">
        <v>32</v>
      </c>
      <c r="T37" s="10" t="str">
        <f t="shared" si="6"/>
        <v>VALE3</v>
      </c>
      <c r="U37" s="10">
        <f t="shared" si="1"/>
        <v>7.7000000000000001E-5</v>
      </c>
      <c r="V37" t="str">
        <f t="shared" si="7"/>
        <v/>
      </c>
      <c r="W37" s="10" t="str">
        <f t="shared" si="8"/>
        <v>TAEE11</v>
      </c>
      <c r="X37" s="10">
        <f t="shared" si="9"/>
        <v>-4.6486002220988299E-3</v>
      </c>
      <c r="Y37" s="33">
        <f t="shared" si="10"/>
        <v>680.58035088705333</v>
      </c>
      <c r="Z37" s="80">
        <f t="shared" si="11"/>
        <v>0</v>
      </c>
      <c r="AA37" s="2"/>
      <c r="AB37" s="2"/>
      <c r="AC37" s="2"/>
      <c r="AD37" s="2"/>
      <c r="AE37" s="2"/>
      <c r="AF37" s="2"/>
      <c r="AG37" s="2"/>
      <c r="AH37" s="2">
        <f t="shared" ca="1" si="2"/>
        <v>745.55555555555338</v>
      </c>
      <c r="AI37" s="2">
        <v>34</v>
      </c>
      <c r="AJ37" s="2"/>
      <c r="AM37" t="s">
        <v>252</v>
      </c>
      <c r="AN37" t="str">
        <f>RTD("rtdtrading.rtdserver",, "WDOFUT_F_0", "DAT")</f>
        <v>15/10/2025</v>
      </c>
      <c r="AO37" t="str">
        <f>RTD("rtdtrading.rtdserver",, "WDOFUT_F_0", "HOR")</f>
        <v>09:23:34</v>
      </c>
      <c r="AP37">
        <f>RTD("rtdtrading.rtdserver",, "WDOFUT_F_0", "ULT")</f>
        <v>5489.5</v>
      </c>
      <c r="AQ37">
        <f>RTD("rtdtrading.rtdserver",, "WDOFUT_F_0", "ABE")</f>
        <v>5482.5</v>
      </c>
      <c r="AR37">
        <f>RTD("rtdtrading.rtdserver",, "WDOFUT_F_0", "MAX")</f>
        <v>5493.5</v>
      </c>
      <c r="AS37">
        <f>RTD("rtdtrading.rtdserver",, "WDOFUT_F_0", "MIN")</f>
        <v>5478.5</v>
      </c>
      <c r="AT37">
        <f>RTD("rtdtrading.rtdserver",, "WDOFUT_F_0", "FEC")</f>
        <v>5500.5</v>
      </c>
      <c r="AU37">
        <f>RTD("rtdtrading.rtdserver",, "WDOFUT_F_0", "PEX")</f>
        <v>0</v>
      </c>
      <c r="AV37">
        <f>RTD("rtdtrading.rtdserver",, "WDOFUT_F_0", "VAR")</f>
        <v>-0.19998181983456051</v>
      </c>
      <c r="AW37">
        <f>RTD("rtdtrading.rtdserver",, "WDOFUT_F_0", "VARPTS")</f>
        <v>-11</v>
      </c>
      <c r="AX37">
        <f>RTD("rtdtrading.rtdserver",, "WDOFUT_F_0", "MED")</f>
        <v>5486.0743684321224</v>
      </c>
      <c r="AY37" t="s">
        <v>253</v>
      </c>
      <c r="AZ37">
        <f>RTD("rtdtrading.rtdserver",, "WDOFUT_F_0", "NEG")</f>
        <v>72872</v>
      </c>
      <c r="BA37">
        <f>RTD("rtdtrading.rtdserver",, "WDOFUT_F_0", "QUL")</f>
        <v>3</v>
      </c>
      <c r="BB37">
        <f>RTD("rtdtrading.rtdserver",, "WDOFUT_F_0", "QTT")</f>
        <v>256742</v>
      </c>
      <c r="BC37">
        <f>RTD("rtdtrading.rtdserver",, "WDOFUT_F_0", "VOL")</f>
        <v>14085057055</v>
      </c>
      <c r="BD37">
        <f>RTD("rtdtrading.rtdserver",, "WDOFUT_F_0", "OCP")</f>
        <v>5489</v>
      </c>
      <c r="BE37">
        <f>RTD("rtdtrading.rtdserver",, "WDOFUT_F_0", "OVD")</f>
        <v>5489.5</v>
      </c>
      <c r="BF37">
        <f>RTD("rtdtrading.rtdserver",, "WDOFUT_F_0", "VOC")</f>
        <v>458</v>
      </c>
      <c r="BG37">
        <f>RTD("rtdtrading.rtdserver",, "WDOFUT_F_0", "VOV")</f>
        <v>105</v>
      </c>
      <c r="BH37">
        <f>RTD("rtdtrading.rtdserver",, "WDOFUT_F_0", "AJU")</f>
        <v>0</v>
      </c>
      <c r="BI37">
        <f>RTD("rtdtrading.rtdserver",, "WDOFUT_F_0", "AJA")</f>
        <v>5489.0649999999996</v>
      </c>
      <c r="BJ37">
        <f>RTD("rtdtrading.rtdserver",, "WDOFUT_F_0", "PRT")</f>
        <v>0</v>
      </c>
      <c r="BK37">
        <f>RTD("rtdtrading.rtdserver",, "WDOFUT_F_0", "QTE")</f>
        <v>0</v>
      </c>
      <c r="BL37">
        <f>RTD("rtdtrading.rtdserver",, "WDOFUT_F_0", "VPJ")</f>
        <v>360584383828.16949</v>
      </c>
      <c r="BM37">
        <f>RTD("rtdtrading.rtdserver",, "WDOFUT_F_0", "SEM")</f>
        <v>-1.2591060347153682</v>
      </c>
      <c r="BN37">
        <f>RTD("rtdtrading.rtdserver",, "WDOFUT_F_0", "MES")</f>
        <v>2.3969408692408134</v>
      </c>
      <c r="BO37">
        <f>RTD("rtdtrading.rtdserver",, "WDOFUT_F_0", "3M")</f>
        <v>-3.7179534582847582</v>
      </c>
      <c r="BP37">
        <f>RTD("rtdtrading.rtdserver",, "WDOFUT_F_0", "6M")</f>
        <v>-10.507119675828378</v>
      </c>
      <c r="BQ37">
        <f>RTD("rtdtrading.rtdserver",, "WDOFUT_F_0", "12M")</f>
        <v>-9.1193689532407944</v>
      </c>
      <c r="BR37">
        <f>RTD("rtdtrading.rtdserver",, "WDOFUT_F_0", "ANO")</f>
        <v>-16.741660471532864</v>
      </c>
      <c r="BS37">
        <f>RTD("rtdtrading.rtdserver",, "WDOFUT_F_0", "TRIM")</f>
        <v>2.3969408692408134</v>
      </c>
      <c r="BT37">
        <f>RTD("rtdtrading.rtdserver",, "WDOFUT_F_0", "SEMES")</f>
        <v>-1.9501000723409854</v>
      </c>
      <c r="BU37" t="str">
        <f>RTD("rtdtrading.rtdserver",, "WDOFUT_F_0", "VEN")</f>
        <v>03/11/2025</v>
      </c>
      <c r="BV37" t="str">
        <f>RTD("rtdtrading.rtdserver",, "WDOFUT_F_0", "VAL")</f>
        <v>31/10/2025</v>
      </c>
      <c r="BW37">
        <f>RTD("rtdtrading.rtdserver",, "WDOFUT_F_0", "CAB")</f>
        <v>1117125</v>
      </c>
      <c r="BX37" t="str">
        <f>RTD("rtdtrading.rtdserver",, "WDOFUT_F_0", "EST")</f>
        <v>Aberto</v>
      </c>
      <c r="BY37" t="str">
        <f>RTD("rtdtrading.rtdserver",, "WDOFUT_F_0", "BLACK")</f>
        <v>-</v>
      </c>
      <c r="BZ37" t="str">
        <f>RTD("rtdtrading.rtdserver",, "WDOFUT_F_0", "IMPVT")</f>
        <v>-</v>
      </c>
      <c r="CA37" t="str">
        <f>RTD("rtdtrading.rtdserver",, "WDOFUT_F_0", "DELTA")</f>
        <v>-</v>
      </c>
      <c r="CB37" t="str">
        <f>RTD("rtdtrading.rtdserver",, "WDOFUT_F_0", "GAMA")</f>
        <v>-</v>
      </c>
      <c r="CC37" t="str">
        <f>RTD("rtdtrading.rtdserver",, "WDOFUT_F_0", "THETA")</f>
        <v>-</v>
      </c>
      <c r="CD37" t="str">
        <f>RTD("rtdtrading.rtdserver",, "WDOFUT_F_0", "RHO")</f>
        <v>-</v>
      </c>
      <c r="CE37" t="str">
        <f>RTD("rtdtrading.rtdserver",, "WDOFUT_F_0", "VEGA")</f>
        <v>-</v>
      </c>
      <c r="CF37" t="str">
        <f>RTD("rtdtrading.rtdserver",, "WDOFUT_F_0", "VIA")</f>
        <v>-</v>
      </c>
      <c r="CG37" t="str">
        <f>RTD("rtdtrading.rtdserver",, "WDOFUT_F_0", "VIB")</f>
        <v>-</v>
      </c>
      <c r="CH37" t="str">
        <f>RTD("rtdtrading.rtdserver",, "WDOFUT_F_0", "DOBRAR")</f>
        <v>-</v>
      </c>
      <c r="CI37" t="str">
        <f>RTD("rtdtrading.rtdserver",, "WDOFUT_F_0", "VIVH")</f>
        <v>-</v>
      </c>
      <c r="CJ37" t="str">
        <f>RTD("rtdtrading.rtdserver",, "WDOFUT_F_0", "VINT")</f>
        <v>-</v>
      </c>
      <c r="CK37" t="str">
        <f>RTD("rtdtrading.rtdserver",, "WDOFUT_F_0", "VEXT")</f>
        <v>-</v>
      </c>
    </row>
    <row r="38" spans="2:89" x14ac:dyDescent="0.25">
      <c r="B38" t="s">
        <v>250</v>
      </c>
      <c r="C38" t="s">
        <v>251</v>
      </c>
      <c r="D38" t="s">
        <v>142</v>
      </c>
      <c r="E38" s="76">
        <v>1246479596</v>
      </c>
      <c r="F38">
        <v>2.0649999999999999</v>
      </c>
      <c r="J38" s="3">
        <f>RTD("rtdtrading.rtdserver",, $B38&amp;"_B_0", J$4)</f>
        <v>35.39</v>
      </c>
      <c r="K38" s="3">
        <f>RTD("rtdtrading.rtdserver",, $B38&amp;"_B_0", K$4)</f>
        <v>35.260000000000005</v>
      </c>
      <c r="L38" s="3">
        <f>RTD("rtdtrading.rtdserver",, $B38&amp;"_B_0", L$4)</f>
        <v>0</v>
      </c>
      <c r="M38" s="3">
        <f t="shared" si="3"/>
        <v>35.260000000000005</v>
      </c>
      <c r="O38" s="33">
        <f t="shared" si="4"/>
        <v>2926.4191236672741</v>
      </c>
      <c r="P38" s="10">
        <f t="shared" si="0"/>
        <v>-3.6733540548176125E-3</v>
      </c>
      <c r="Q38">
        <v>3.3000000000000003E-5</v>
      </c>
      <c r="R38" s="17">
        <f t="shared" si="5"/>
        <v>-3.6403540548176124E-3</v>
      </c>
      <c r="S38">
        <v>33</v>
      </c>
      <c r="T38" s="10" t="str">
        <f t="shared" si="6"/>
        <v>CVCB3</v>
      </c>
      <c r="U38" s="10">
        <f t="shared" ref="U38:U69" si="12">IFERROR(LARGE($R$6:$R$130,S38),"")</f>
        <v>2.4000000000000001E-5</v>
      </c>
      <c r="V38" t="str">
        <f t="shared" si="7"/>
        <v/>
      </c>
      <c r="W38" s="10" t="str">
        <f t="shared" si="8"/>
        <v>SUZB3</v>
      </c>
      <c r="X38" s="10">
        <f t="shared" si="9"/>
        <v>-4.4933685957270356E-3</v>
      </c>
      <c r="Y38" s="33">
        <f t="shared" si="10"/>
        <v>2926.4191236672741</v>
      </c>
      <c r="Z38" s="80">
        <f t="shared" si="11"/>
        <v>0</v>
      </c>
      <c r="AA38" s="2"/>
      <c r="AB38" s="2"/>
      <c r="AC38" s="2"/>
      <c r="AD38" s="2"/>
      <c r="AE38" s="2"/>
      <c r="AF38" s="2"/>
      <c r="AG38" s="2"/>
      <c r="AH38" s="2">
        <f t="shared" ca="1" si="2"/>
        <v>677.77777777777555</v>
      </c>
      <c r="AI38" s="2">
        <v>35</v>
      </c>
      <c r="AJ38" s="2"/>
      <c r="AN38" t="str">
        <f>RTD("rtdtrading.rtdserver",, "WINJ24_F_0", "DAT")</f>
        <v>30/12/1899</v>
      </c>
      <c r="AO38" t="str">
        <f>RTD("rtdtrading.rtdserver",, "WINJ24_F_0", "HOR")</f>
        <v>00:00:00</v>
      </c>
      <c r="AP38">
        <f>RTD("rtdtrading.rtdserver",, "WINJ24_F_0", "ULT")</f>
        <v>0</v>
      </c>
      <c r="AQ38">
        <f>RTD("rtdtrading.rtdserver",, "WINJ24_F_0", "ABE")</f>
        <v>0</v>
      </c>
      <c r="AR38">
        <f>RTD("rtdtrading.rtdserver",, "WINJ24_F_0", "MAX")</f>
        <v>0</v>
      </c>
      <c r="AS38">
        <f>RTD("rtdtrading.rtdserver",, "WINJ24_F_0", "MIN")</f>
        <v>0</v>
      </c>
      <c r="AT38">
        <f>RTD("rtdtrading.rtdserver",, "WINJ24_F_0", "FEC")</f>
        <v>0</v>
      </c>
      <c r="AU38">
        <f>RTD("rtdtrading.rtdserver",, "WINJ24_F_0", "PEX")</f>
        <v>0</v>
      </c>
      <c r="AV38">
        <f>RTD("rtdtrading.rtdserver",, "WINJ24_F_0", "VAR")</f>
        <v>0</v>
      </c>
      <c r="AW38">
        <f>RTD("rtdtrading.rtdserver",, "WINJ24_F_0", "VARPTS")</f>
        <v>0</v>
      </c>
      <c r="AX38">
        <f>RTD("rtdtrading.rtdserver",, "WINJ24_F_0", "MED")</f>
        <v>0</v>
      </c>
      <c r="AY38" t="s">
        <v>249</v>
      </c>
      <c r="AZ38">
        <f>RTD("rtdtrading.rtdserver",, "WINJ24_F_0", "NEG")</f>
        <v>0</v>
      </c>
      <c r="BA38">
        <f>RTD("rtdtrading.rtdserver",, "WINJ24_F_0", "QUL")</f>
        <v>0</v>
      </c>
      <c r="BB38">
        <f>RTD("rtdtrading.rtdserver",, "WINJ24_F_0", "QTT")</f>
        <v>0</v>
      </c>
      <c r="BC38">
        <f>RTD("rtdtrading.rtdserver",, "WINJ24_F_0", "VOL")</f>
        <v>0</v>
      </c>
      <c r="BD38">
        <f>RTD("rtdtrading.rtdserver",, "WINJ24_F_0", "OCP")</f>
        <v>0</v>
      </c>
      <c r="BE38">
        <f>RTD("rtdtrading.rtdserver",, "WINJ24_F_0", "OVD")</f>
        <v>0</v>
      </c>
      <c r="BF38">
        <f>RTD("rtdtrading.rtdserver",, "WINJ24_F_0", "VOC")</f>
        <v>0</v>
      </c>
      <c r="BG38">
        <f>RTD("rtdtrading.rtdserver",, "WINJ24_F_0", "VOV")</f>
        <v>0</v>
      </c>
      <c r="BH38">
        <f>RTD("rtdtrading.rtdserver",, "WINJ24_F_0", "AJU")</f>
        <v>0</v>
      </c>
      <c r="BI38">
        <f>RTD("rtdtrading.rtdserver",, "WINJ24_F_0", "AJA")</f>
        <v>0</v>
      </c>
      <c r="BJ38">
        <f>RTD("rtdtrading.rtdserver",, "WINJ24_F_0", "PRT")</f>
        <v>0</v>
      </c>
      <c r="BK38">
        <f>RTD("rtdtrading.rtdserver",, "WINJ24_F_0", "QTE")</f>
        <v>0</v>
      </c>
      <c r="BL38">
        <f>RTD("rtdtrading.rtdserver",, "WINJ24_F_0", "VPJ")</f>
        <v>0</v>
      </c>
      <c r="BM38">
        <f>RTD("rtdtrading.rtdserver",, "WINJ24_F_0", "SEM")</f>
        <v>0</v>
      </c>
      <c r="BN38">
        <f>RTD("rtdtrading.rtdserver",, "WINJ24_F_0", "MES")</f>
        <v>0</v>
      </c>
      <c r="BO38">
        <f>RTD("rtdtrading.rtdserver",, "WINJ24_F_0", "3M")</f>
        <v>0</v>
      </c>
      <c r="BP38">
        <f>RTD("rtdtrading.rtdserver",, "WINJ24_F_0", "6M")</f>
        <v>0</v>
      </c>
      <c r="BQ38">
        <f>RTD("rtdtrading.rtdserver",, "WINJ24_F_0", "12M")</f>
        <v>0</v>
      </c>
      <c r="BR38">
        <f>RTD("rtdtrading.rtdserver",, "WINJ24_F_0", "ANO")</f>
        <v>0</v>
      </c>
      <c r="BS38">
        <f>RTD("rtdtrading.rtdserver",, "WINJ24_F_0", "TRIM")</f>
        <v>0</v>
      </c>
      <c r="BT38">
        <f>RTD("rtdtrading.rtdserver",, "WINJ24_F_0", "SEMES")</f>
        <v>0</v>
      </c>
      <c r="BU38" t="str">
        <f>RTD("rtdtrading.rtdserver",, "WINJ24_F_0", "VEN")</f>
        <v>17/04/2024</v>
      </c>
      <c r="BV38" t="str">
        <f>RTD("rtdtrading.rtdserver",, "WINJ24_F_0", "VAL")</f>
        <v>17/04/2024</v>
      </c>
      <c r="BW38">
        <f>RTD("rtdtrading.rtdserver",, "WINJ24_F_0", "CAB")</f>
        <v>0</v>
      </c>
      <c r="BX38" t="str">
        <f>RTD("rtdtrading.rtdserver",, "WINJ24_F_0", "EST")</f>
        <v>NONE</v>
      </c>
      <c r="BY38" t="str">
        <f>RTD("rtdtrading.rtdserver",, "WINJ24_F_0", "BLACK")</f>
        <v>-</v>
      </c>
      <c r="BZ38" t="str">
        <f>RTD("rtdtrading.rtdserver",, "WINJ24_F_0", "IMPVT")</f>
        <v>-</v>
      </c>
      <c r="CA38" t="str">
        <f>RTD("rtdtrading.rtdserver",, "WINJ24_F_0", "DELTA")</f>
        <v>-</v>
      </c>
      <c r="CB38" t="str">
        <f>RTD("rtdtrading.rtdserver",, "WINJ24_F_0", "GAMA")</f>
        <v>-</v>
      </c>
      <c r="CC38" t="str">
        <f>RTD("rtdtrading.rtdserver",, "WINJ24_F_0", "THETA")</f>
        <v>-</v>
      </c>
      <c r="CD38" t="str">
        <f>RTD("rtdtrading.rtdserver",, "WINJ24_F_0", "RHO")</f>
        <v>-</v>
      </c>
      <c r="CE38" t="str">
        <f>RTD("rtdtrading.rtdserver",, "WINJ24_F_0", "VEGA")</f>
        <v>-</v>
      </c>
      <c r="CF38" t="str">
        <f>RTD("rtdtrading.rtdserver",, "WINJ24_F_0", "VIA")</f>
        <v>-</v>
      </c>
      <c r="CG38" t="str">
        <f>RTD("rtdtrading.rtdserver",, "WINJ24_F_0", "VIB")</f>
        <v>-</v>
      </c>
      <c r="CH38" t="str">
        <f>RTD("rtdtrading.rtdserver",, "WINJ24_F_0", "DOBRAR")</f>
        <v>-</v>
      </c>
      <c r="CI38" t="str">
        <f>RTD("rtdtrading.rtdserver",, "WINJ24_F_0", "VIVH")</f>
        <v>-</v>
      </c>
      <c r="CJ38" t="str">
        <f>RTD("rtdtrading.rtdserver",, "WINJ24_F_0", "VINT")</f>
        <v>-</v>
      </c>
      <c r="CK38" t="str">
        <f>RTD("rtdtrading.rtdserver",, "WINJ24_F_0", "VEXT")</f>
        <v>-</v>
      </c>
    </row>
    <row r="39" spans="2:89" x14ac:dyDescent="0.25">
      <c r="B39" t="s">
        <v>254</v>
      </c>
      <c r="C39" t="s">
        <v>255</v>
      </c>
      <c r="D39" t="s">
        <v>142</v>
      </c>
      <c r="E39" s="76">
        <v>447171522</v>
      </c>
      <c r="F39">
        <v>0.32300000000000001</v>
      </c>
      <c r="J39" s="3">
        <f>RTD("rtdtrading.rtdserver",, $B39&amp;"_B_0", J$4)</f>
        <v>15.450000000000001</v>
      </c>
      <c r="K39" s="3">
        <f>RTD("rtdtrading.rtdserver",, $B39&amp;"_B_0", K$4)</f>
        <v>15.350000000000001</v>
      </c>
      <c r="L39" s="3">
        <f>RTD("rtdtrading.rtdserver",, $B39&amp;"_B_0", L$4)</f>
        <v>0</v>
      </c>
      <c r="M39" s="3">
        <f t="shared" si="3"/>
        <v>15.350000000000001</v>
      </c>
      <c r="O39" s="33">
        <f t="shared" si="4"/>
        <v>457.03721228282205</v>
      </c>
      <c r="P39" s="10">
        <f t="shared" si="0"/>
        <v>-6.4724919093850364E-3</v>
      </c>
      <c r="Q39">
        <v>3.4E-5</v>
      </c>
      <c r="R39" s="17">
        <f t="shared" si="5"/>
        <v>-6.4384919093850362E-3</v>
      </c>
      <c r="S39">
        <v>34</v>
      </c>
      <c r="T39" s="10" t="str">
        <f t="shared" si="6"/>
        <v>GGBR4</v>
      </c>
      <c r="U39" s="10">
        <f t="shared" si="12"/>
        <v>-5.2933408577882817E-4</v>
      </c>
      <c r="V39" t="str">
        <f t="shared" si="7"/>
        <v/>
      </c>
      <c r="W39" s="10" t="str">
        <f t="shared" si="8"/>
        <v>YDUQ3</v>
      </c>
      <c r="X39" s="10">
        <f t="shared" si="9"/>
        <v>-4.2395211754537023E-3</v>
      </c>
      <c r="Y39" s="33">
        <f t="shared" si="10"/>
        <v>457.03721228282205</v>
      </c>
      <c r="Z39" s="80">
        <f t="shared" si="11"/>
        <v>0</v>
      </c>
      <c r="AA39" s="2"/>
      <c r="AB39" s="2"/>
      <c r="AC39" s="2"/>
      <c r="AD39" s="2"/>
      <c r="AE39" s="2"/>
      <c r="AF39" s="2"/>
      <c r="AG39" s="2"/>
      <c r="AH39" s="2">
        <f t="shared" ca="1" si="2"/>
        <v>609.99999999999773</v>
      </c>
      <c r="AI39" s="2">
        <v>36</v>
      </c>
      <c r="AJ39" s="2"/>
      <c r="AN39" t="str">
        <f>RTD("rtdtrading.rtdserver",, "WDOK24_F_0", "DAT")</f>
        <v>30/12/1899</v>
      </c>
      <c r="AO39" t="str">
        <f>RTD("rtdtrading.rtdserver",, "WDOK24_F_0", "HOR")</f>
        <v>00:00:00</v>
      </c>
      <c r="AP39">
        <f>RTD("rtdtrading.rtdserver",, "WDOK24_F_0", "ULT")</f>
        <v>0</v>
      </c>
      <c r="AQ39">
        <f>RTD("rtdtrading.rtdserver",, "WDOK24_F_0", "ABE")</f>
        <v>0</v>
      </c>
      <c r="AR39">
        <f>RTD("rtdtrading.rtdserver",, "WDOK24_F_0", "MAX")</f>
        <v>0</v>
      </c>
      <c r="AS39">
        <f>RTD("rtdtrading.rtdserver",, "WDOK24_F_0", "MIN")</f>
        <v>0</v>
      </c>
      <c r="AT39">
        <f>RTD("rtdtrading.rtdserver",, "WDOK24_F_0", "FEC")</f>
        <v>0</v>
      </c>
      <c r="AU39">
        <f>RTD("rtdtrading.rtdserver",, "WDOK24_F_0", "PEX")</f>
        <v>0</v>
      </c>
      <c r="AV39">
        <f>RTD("rtdtrading.rtdserver",, "WDOK24_F_0", "VAR")</f>
        <v>0</v>
      </c>
      <c r="AW39">
        <f>RTD("rtdtrading.rtdserver",, "WDOK24_F_0", "VARPTS")</f>
        <v>0</v>
      </c>
      <c r="AX39">
        <f>RTD("rtdtrading.rtdserver",, "WDOK24_F_0", "MED")</f>
        <v>0</v>
      </c>
      <c r="AY39" t="s">
        <v>253</v>
      </c>
      <c r="AZ39">
        <f>RTD("rtdtrading.rtdserver",, "WDOK24_F_0", "NEG")</f>
        <v>0</v>
      </c>
      <c r="BA39">
        <f>RTD("rtdtrading.rtdserver",, "WDOK24_F_0", "QUL")</f>
        <v>0</v>
      </c>
      <c r="BB39">
        <f>RTD("rtdtrading.rtdserver",, "WDOK24_F_0", "QTT")</f>
        <v>0</v>
      </c>
      <c r="BC39">
        <f>RTD("rtdtrading.rtdserver",, "WDOK24_F_0", "VOL")</f>
        <v>0</v>
      </c>
      <c r="BD39">
        <f>RTD("rtdtrading.rtdserver",, "WDOK24_F_0", "OCP")</f>
        <v>0</v>
      </c>
      <c r="BE39">
        <f>RTD("rtdtrading.rtdserver",, "WDOK24_F_0", "OVD")</f>
        <v>0</v>
      </c>
      <c r="BF39">
        <f>RTD("rtdtrading.rtdserver",, "WDOK24_F_0", "VOC")</f>
        <v>0</v>
      </c>
      <c r="BG39">
        <f>RTD("rtdtrading.rtdserver",, "WDOK24_F_0", "VOV")</f>
        <v>0</v>
      </c>
      <c r="BH39">
        <f>RTD("rtdtrading.rtdserver",, "WDOK24_F_0", "AJU")</f>
        <v>0</v>
      </c>
      <c r="BI39">
        <f>RTD("rtdtrading.rtdserver",, "WDOK24_F_0", "AJA")</f>
        <v>0</v>
      </c>
      <c r="BJ39">
        <f>RTD("rtdtrading.rtdserver",, "WDOK24_F_0", "PRT")</f>
        <v>0</v>
      </c>
      <c r="BK39">
        <f>RTD("rtdtrading.rtdserver",, "WDOK24_F_0", "QTE")</f>
        <v>0</v>
      </c>
      <c r="BL39">
        <f>RTD("rtdtrading.rtdserver",, "WDOK24_F_0", "VPJ")</f>
        <v>0</v>
      </c>
      <c r="BM39">
        <f>RTD("rtdtrading.rtdserver",, "WDOK24_F_0", "SEM")</f>
        <v>0</v>
      </c>
      <c r="BN39">
        <f>RTD("rtdtrading.rtdserver",, "WDOK24_F_0", "MES")</f>
        <v>0</v>
      </c>
      <c r="BO39">
        <f>RTD("rtdtrading.rtdserver",, "WDOK24_F_0", "3M")</f>
        <v>0</v>
      </c>
      <c r="BP39">
        <f>RTD("rtdtrading.rtdserver",, "WDOK24_F_0", "6M")</f>
        <v>0</v>
      </c>
      <c r="BQ39">
        <f>RTD("rtdtrading.rtdserver",, "WDOK24_F_0", "12M")</f>
        <v>0</v>
      </c>
      <c r="BR39">
        <f>RTD("rtdtrading.rtdserver",, "WDOK24_F_0", "ANO")</f>
        <v>0</v>
      </c>
      <c r="BS39">
        <f>RTD("rtdtrading.rtdserver",, "WDOK24_F_0", "TRIM")</f>
        <v>0</v>
      </c>
      <c r="BT39">
        <f>RTD("rtdtrading.rtdserver",, "WDOK24_F_0", "SEMES")</f>
        <v>0</v>
      </c>
      <c r="BU39" t="str">
        <f>RTD("rtdtrading.rtdserver",, "WDOK24_F_0", "VEN")</f>
        <v>29/12/2024</v>
      </c>
      <c r="BV39" t="str">
        <f>RTD("rtdtrading.rtdserver",, "WDOK24_F_0", "VAL")</f>
        <v>29/12/2024</v>
      </c>
      <c r="BW39">
        <f>RTD("rtdtrading.rtdserver",, "WDOK24_F_0", "CAB")</f>
        <v>0</v>
      </c>
      <c r="BX39" t="str">
        <f>RTD("rtdtrading.rtdserver",, "WDOK24_F_0", "EST")</f>
        <v>NONE</v>
      </c>
      <c r="BY39" t="str">
        <f>RTD("rtdtrading.rtdserver",, "WDOK24_F_0", "BLACK")</f>
        <v>-</v>
      </c>
      <c r="BZ39" t="str">
        <f>RTD("rtdtrading.rtdserver",, "WDOK24_F_0", "IMPVT")</f>
        <v>-</v>
      </c>
      <c r="CA39" t="str">
        <f>RTD("rtdtrading.rtdserver",, "WDOK24_F_0", "DELTA")</f>
        <v>-</v>
      </c>
      <c r="CB39" t="str">
        <f>RTD("rtdtrading.rtdserver",, "WDOK24_F_0", "GAMA")</f>
        <v>-</v>
      </c>
      <c r="CC39" t="str">
        <f>RTD("rtdtrading.rtdserver",, "WDOK24_F_0", "THETA")</f>
        <v>-</v>
      </c>
      <c r="CD39" t="str">
        <f>RTD("rtdtrading.rtdserver",, "WDOK24_F_0", "RHO")</f>
        <v>-</v>
      </c>
      <c r="CE39" t="str">
        <f>RTD("rtdtrading.rtdserver",, "WDOK24_F_0", "VEGA")</f>
        <v>-</v>
      </c>
      <c r="CF39" t="str">
        <f>RTD("rtdtrading.rtdserver",, "WDOK24_F_0", "VIA")</f>
        <v>-</v>
      </c>
      <c r="CG39" t="str">
        <f>RTD("rtdtrading.rtdserver",, "WDOK24_F_0", "VIB")</f>
        <v>-</v>
      </c>
      <c r="CH39" t="str">
        <f>RTD("rtdtrading.rtdserver",, "WDOK24_F_0", "DOBRAR")</f>
        <v>-</v>
      </c>
      <c r="CI39" t="str">
        <f>RTD("rtdtrading.rtdserver",, "WDOK24_F_0", "VIVH")</f>
        <v>-</v>
      </c>
      <c r="CJ39" t="str">
        <f>RTD("rtdtrading.rtdserver",, "WDOK24_F_0", "VINT")</f>
        <v>-</v>
      </c>
      <c r="CK39" t="str">
        <f>RTD("rtdtrading.rtdserver",, "WDOK24_F_0", "VEXT")</f>
        <v>-</v>
      </c>
    </row>
    <row r="40" spans="2:89" x14ac:dyDescent="0.25">
      <c r="B40" t="s">
        <v>164</v>
      </c>
      <c r="C40" t="s">
        <v>257</v>
      </c>
      <c r="D40" t="s">
        <v>167</v>
      </c>
      <c r="E40" s="76">
        <v>1276025309</v>
      </c>
      <c r="F40">
        <v>1.0620000000000001</v>
      </c>
      <c r="J40" s="3">
        <f>RTD("rtdtrading.rtdserver",, $B40&amp;"_B_0", J$4)</f>
        <v>17.720000000000002</v>
      </c>
      <c r="K40" s="3">
        <f>RTD("rtdtrading.rtdserver",, $B40&amp;"_B_0", K$4)</f>
        <v>17.71</v>
      </c>
      <c r="L40" s="3">
        <f>RTD("rtdtrading.rtdserver",, $B40&amp;"_B_0", L$4)</f>
        <v>0</v>
      </c>
      <c r="M40" s="3">
        <f t="shared" si="3"/>
        <v>17.71</v>
      </c>
      <c r="O40" s="33">
        <f t="shared" si="4"/>
        <v>1504.6895124351204</v>
      </c>
      <c r="P40" s="10">
        <f t="shared" si="0"/>
        <v>-5.6433408577882815E-4</v>
      </c>
      <c r="Q40">
        <v>3.4999999999999997E-5</v>
      </c>
      <c r="R40" s="17">
        <f t="shared" si="5"/>
        <v>-5.2933408577882817E-4</v>
      </c>
      <c r="S40">
        <v>35</v>
      </c>
      <c r="T40" s="10" t="str">
        <f t="shared" si="6"/>
        <v>PETR3</v>
      </c>
      <c r="U40" s="10">
        <f t="shared" si="12"/>
        <v>-5.649251785158632E-4</v>
      </c>
      <c r="V40" t="str">
        <f t="shared" si="7"/>
        <v/>
      </c>
      <c r="W40" s="10" t="str">
        <f t="shared" si="8"/>
        <v>MULT3</v>
      </c>
      <c r="X40" s="10">
        <f t="shared" si="9"/>
        <v>-3.9985653775322623E-3</v>
      </c>
      <c r="Y40" s="33">
        <f t="shared" si="10"/>
        <v>1504.6895124351204</v>
      </c>
      <c r="Z40" s="80">
        <f t="shared" si="11"/>
        <v>0</v>
      </c>
      <c r="AA40" s="2"/>
      <c r="AB40" s="2"/>
      <c r="AC40" s="2"/>
      <c r="AD40" s="2"/>
      <c r="AE40" s="2"/>
      <c r="AF40" s="2"/>
      <c r="AG40" s="2"/>
      <c r="AH40" s="2">
        <f t="shared" ca="1" si="2"/>
        <v>542.2222222222199</v>
      </c>
      <c r="AI40" s="2">
        <v>37</v>
      </c>
      <c r="AJ40" s="2"/>
      <c r="AN40" t="str">
        <f>RTD("rtdtrading.rtdserver",, "WINM24_F_0", "DAT")</f>
        <v>30/12/1899</v>
      </c>
      <c r="AO40" t="str">
        <f>RTD("rtdtrading.rtdserver",, "WINM24_F_0", "HOR")</f>
        <v>00:00:00</v>
      </c>
      <c r="AP40">
        <f>RTD("rtdtrading.rtdserver",, "WINM24_F_0", "ULT")</f>
        <v>0</v>
      </c>
      <c r="AQ40">
        <f>RTD("rtdtrading.rtdserver",, "WINM24_F_0", "ABE")</f>
        <v>0</v>
      </c>
      <c r="AR40">
        <f>RTD("rtdtrading.rtdserver",, "WINM24_F_0", "MAX")</f>
        <v>0</v>
      </c>
      <c r="AS40">
        <f>RTD("rtdtrading.rtdserver",, "WINM24_F_0", "MIN")</f>
        <v>0</v>
      </c>
      <c r="AT40">
        <f>RTD("rtdtrading.rtdserver",, "WINM24_F_0", "FEC")</f>
        <v>0</v>
      </c>
      <c r="AU40">
        <f>RTD("rtdtrading.rtdserver",, "WINM24_F_0", "PEX")</f>
        <v>0</v>
      </c>
      <c r="AV40">
        <f>RTD("rtdtrading.rtdserver",, "WINM24_F_0", "VAR")</f>
        <v>0</v>
      </c>
      <c r="AW40">
        <f>RTD("rtdtrading.rtdserver",, "WINM24_F_0", "VARPTS")</f>
        <v>0</v>
      </c>
      <c r="AX40">
        <f>RTD("rtdtrading.rtdserver",, "WINM24_F_0", "MED")</f>
        <v>0</v>
      </c>
      <c r="AY40" t="s">
        <v>249</v>
      </c>
      <c r="AZ40">
        <f>RTD("rtdtrading.rtdserver",, "WINM24_F_0", "NEG")</f>
        <v>0</v>
      </c>
      <c r="BA40">
        <f>RTD("rtdtrading.rtdserver",, "WINM24_F_0", "QUL")</f>
        <v>0</v>
      </c>
      <c r="BB40">
        <f>RTD("rtdtrading.rtdserver",, "WINM24_F_0", "QTT")</f>
        <v>0</v>
      </c>
      <c r="BC40">
        <f>RTD("rtdtrading.rtdserver",, "WINM24_F_0", "VOL")</f>
        <v>0</v>
      </c>
      <c r="BD40">
        <f>RTD("rtdtrading.rtdserver",, "WINM24_F_0", "OCP")</f>
        <v>0</v>
      </c>
      <c r="BE40">
        <f>RTD("rtdtrading.rtdserver",, "WINM24_F_0", "OVD")</f>
        <v>0</v>
      </c>
      <c r="BF40">
        <f>RTD("rtdtrading.rtdserver",, "WINM24_F_0", "VOC")</f>
        <v>0</v>
      </c>
      <c r="BG40">
        <f>RTD("rtdtrading.rtdserver",, "WINM24_F_0", "VOV")</f>
        <v>0</v>
      </c>
      <c r="BH40">
        <f>RTD("rtdtrading.rtdserver",, "WINM24_F_0", "AJU")</f>
        <v>0</v>
      </c>
      <c r="BI40">
        <f>RTD("rtdtrading.rtdserver",, "WINM24_F_0", "AJA")</f>
        <v>0</v>
      </c>
      <c r="BJ40">
        <f>RTD("rtdtrading.rtdserver",, "WINM24_F_0", "PRT")</f>
        <v>0</v>
      </c>
      <c r="BK40">
        <f>RTD("rtdtrading.rtdserver",, "WINM24_F_0", "QTE")</f>
        <v>0</v>
      </c>
      <c r="BL40">
        <f>RTD("rtdtrading.rtdserver",, "WINM24_F_0", "VPJ")</f>
        <v>0</v>
      </c>
      <c r="BM40">
        <f>RTD("rtdtrading.rtdserver",, "WINM24_F_0", "SEM")</f>
        <v>0</v>
      </c>
      <c r="BN40">
        <f>RTD("rtdtrading.rtdserver",, "WINM24_F_0", "MES")</f>
        <v>0</v>
      </c>
      <c r="BO40">
        <f>RTD("rtdtrading.rtdserver",, "WINM24_F_0", "3M")</f>
        <v>0</v>
      </c>
      <c r="BP40">
        <f>RTD("rtdtrading.rtdserver",, "WINM24_F_0", "6M")</f>
        <v>0</v>
      </c>
      <c r="BQ40">
        <f>RTD("rtdtrading.rtdserver",, "WINM24_F_0", "12M")</f>
        <v>0</v>
      </c>
      <c r="BR40">
        <f>RTD("rtdtrading.rtdserver",, "WINM24_F_0", "ANO")</f>
        <v>0</v>
      </c>
      <c r="BS40">
        <f>RTD("rtdtrading.rtdserver",, "WINM24_F_0", "TRIM")</f>
        <v>0</v>
      </c>
      <c r="BT40">
        <f>RTD("rtdtrading.rtdserver",, "WINM24_F_0", "SEMES")</f>
        <v>0</v>
      </c>
      <c r="BU40" t="str">
        <f>RTD("rtdtrading.rtdserver",, "WINM24_F_0", "VEN")</f>
        <v>12/06/2024</v>
      </c>
      <c r="BV40" t="str">
        <f>RTD("rtdtrading.rtdserver",, "WINM24_F_0", "VAL")</f>
        <v>12/06/2024</v>
      </c>
      <c r="BW40">
        <f>RTD("rtdtrading.rtdserver",, "WINM24_F_0", "CAB")</f>
        <v>0</v>
      </c>
      <c r="BX40" t="str">
        <f>RTD("rtdtrading.rtdserver",, "WINM24_F_0", "EST")</f>
        <v>NONE</v>
      </c>
      <c r="BY40" t="str">
        <f>RTD("rtdtrading.rtdserver",, "WINM24_F_0", "BLACK")</f>
        <v>-</v>
      </c>
      <c r="BZ40" t="str">
        <f>RTD("rtdtrading.rtdserver",, "WINM24_F_0", "IMPVT")</f>
        <v>-</v>
      </c>
      <c r="CA40" t="str">
        <f>RTD("rtdtrading.rtdserver",, "WINM24_F_0", "DELTA")</f>
        <v>-</v>
      </c>
      <c r="CB40" t="str">
        <f>RTD("rtdtrading.rtdserver",, "WINM24_F_0", "GAMA")</f>
        <v>-</v>
      </c>
      <c r="CC40" t="str">
        <f>RTD("rtdtrading.rtdserver",, "WINM24_F_0", "THETA")</f>
        <v>-</v>
      </c>
      <c r="CD40" t="str">
        <f>RTD("rtdtrading.rtdserver",, "WINM24_F_0", "RHO")</f>
        <v>-</v>
      </c>
      <c r="CE40" t="str">
        <f>RTD("rtdtrading.rtdserver",, "WINM24_F_0", "VEGA")</f>
        <v>-</v>
      </c>
      <c r="CF40" t="str">
        <f>RTD("rtdtrading.rtdserver",, "WINM24_F_0", "VIA")</f>
        <v>-</v>
      </c>
      <c r="CG40" t="str">
        <f>RTD("rtdtrading.rtdserver",, "WINM24_F_0", "VIB")</f>
        <v>-</v>
      </c>
      <c r="CH40" t="str">
        <f>RTD("rtdtrading.rtdserver",, "WINM24_F_0", "DOBRAR")</f>
        <v>-</v>
      </c>
      <c r="CI40" t="str">
        <f>RTD("rtdtrading.rtdserver",, "WINM24_F_0", "VIVH")</f>
        <v>-</v>
      </c>
      <c r="CJ40" t="str">
        <f>RTD("rtdtrading.rtdserver",, "WINM24_F_0", "VINT")</f>
        <v>-</v>
      </c>
      <c r="CK40" t="str">
        <f>RTD("rtdtrading.rtdserver",, "WINM24_F_0", "VEXT")</f>
        <v>-</v>
      </c>
    </row>
    <row r="41" spans="2:89" x14ac:dyDescent="0.25">
      <c r="B41" t="s">
        <v>188</v>
      </c>
      <c r="C41" t="s">
        <v>259</v>
      </c>
      <c r="D41" t="s">
        <v>167</v>
      </c>
      <c r="E41" s="76">
        <v>622976844</v>
      </c>
      <c r="F41">
        <v>0.3</v>
      </c>
      <c r="J41" s="3">
        <f>RTD("rtdtrading.rtdserver",, $B41&amp;"_B_0", J$4)</f>
        <v>10.25</v>
      </c>
      <c r="K41" s="3">
        <f>RTD("rtdtrading.rtdserver",, $B41&amp;"_B_0", K$4)</f>
        <v>10.24</v>
      </c>
      <c r="L41" s="3">
        <f>RTD("rtdtrading.rtdserver",, $B41&amp;"_B_0", L$4)</f>
        <v>0</v>
      </c>
      <c r="M41" s="3">
        <f t="shared" si="3"/>
        <v>10.24</v>
      </c>
      <c r="O41" s="33">
        <f t="shared" si="4"/>
        <v>424.75735263223538</v>
      </c>
      <c r="P41" s="10">
        <f t="shared" si="0"/>
        <v>-9.7560975609756184E-4</v>
      </c>
      <c r="Q41">
        <v>3.6000000000000001E-5</v>
      </c>
      <c r="R41" s="17">
        <f t="shared" si="5"/>
        <v>-9.3960975609756183E-4</v>
      </c>
      <c r="S41">
        <v>36</v>
      </c>
      <c r="T41" s="10" t="str">
        <f t="shared" si="6"/>
        <v>CXSE3</v>
      </c>
      <c r="U41" s="10">
        <f t="shared" si="12"/>
        <v>-6.556908115358123E-4</v>
      </c>
      <c r="V41" t="str">
        <f t="shared" si="7"/>
        <v/>
      </c>
      <c r="W41" s="10" t="str">
        <f t="shared" si="8"/>
        <v>KLBN11</v>
      </c>
      <c r="X41" s="10">
        <f t="shared" si="9"/>
        <v>-3.9514337899543726E-3</v>
      </c>
      <c r="Y41" s="33">
        <f t="shared" si="10"/>
        <v>424.75735263223538</v>
      </c>
      <c r="Z41" s="80">
        <f t="shared" si="11"/>
        <v>0</v>
      </c>
      <c r="AA41" s="2"/>
      <c r="AB41" s="2"/>
      <c r="AC41" s="2"/>
      <c r="AD41" s="2"/>
      <c r="AE41" s="2"/>
      <c r="AF41" s="2"/>
      <c r="AG41" s="2"/>
      <c r="AH41" s="2">
        <f t="shared" ca="1" si="2"/>
        <v>474.44444444444213</v>
      </c>
      <c r="AI41" s="2">
        <v>38</v>
      </c>
      <c r="AJ41" s="2"/>
      <c r="AN41" t="str">
        <f>RTD("rtdtrading.rtdserver",, "WINQ24_F_0", "DAT")</f>
        <v>30/12/1899</v>
      </c>
      <c r="AO41" t="str">
        <f>RTD("rtdtrading.rtdserver",, "WINQ24_F_0", "HOR")</f>
        <v>00:00:00</v>
      </c>
      <c r="AP41">
        <f>RTD("rtdtrading.rtdserver",, "WINQ24_F_0", "ULT")</f>
        <v>0</v>
      </c>
      <c r="AQ41">
        <f>RTD("rtdtrading.rtdserver",, "WINQ24_F_0", "ABE")</f>
        <v>0</v>
      </c>
      <c r="AR41">
        <f>RTD("rtdtrading.rtdserver",, "WINQ24_F_0", "MAX")</f>
        <v>0</v>
      </c>
      <c r="AS41">
        <f>RTD("rtdtrading.rtdserver",, "WINQ24_F_0", "MIN")</f>
        <v>0</v>
      </c>
      <c r="AT41">
        <f>RTD("rtdtrading.rtdserver",, "WINQ24_F_0", "FEC")</f>
        <v>0</v>
      </c>
      <c r="AU41">
        <f>RTD("rtdtrading.rtdserver",, "WINQ24_F_0", "PEX")</f>
        <v>0</v>
      </c>
      <c r="AV41">
        <f>RTD("rtdtrading.rtdserver",, "WINQ24_F_0", "VAR")</f>
        <v>0</v>
      </c>
      <c r="AW41">
        <f>RTD("rtdtrading.rtdserver",, "WINQ24_F_0", "VARPTS")</f>
        <v>0</v>
      </c>
      <c r="AX41">
        <f>RTD("rtdtrading.rtdserver",, "WINQ24_F_0", "MED")</f>
        <v>0</v>
      </c>
      <c r="AY41" t="s">
        <v>249</v>
      </c>
      <c r="AZ41">
        <f>RTD("rtdtrading.rtdserver",, "WINQ24_F_0", "NEG")</f>
        <v>0</v>
      </c>
      <c r="BA41">
        <f>RTD("rtdtrading.rtdserver",, "WINQ24_F_0", "QUL")</f>
        <v>0</v>
      </c>
      <c r="BB41">
        <f>RTD("rtdtrading.rtdserver",, "WINQ24_F_0", "QTT")</f>
        <v>0</v>
      </c>
      <c r="BC41">
        <f>RTD("rtdtrading.rtdserver",, "WINQ24_F_0", "VOL")</f>
        <v>0</v>
      </c>
      <c r="BD41">
        <f>RTD("rtdtrading.rtdserver",, "WINQ24_F_0", "OCP")</f>
        <v>0</v>
      </c>
      <c r="BE41">
        <f>RTD("rtdtrading.rtdserver",, "WINQ24_F_0", "OVD")</f>
        <v>0</v>
      </c>
      <c r="BF41">
        <f>RTD("rtdtrading.rtdserver",, "WINQ24_F_0", "VOC")</f>
        <v>0</v>
      </c>
      <c r="BG41">
        <f>RTD("rtdtrading.rtdserver",, "WINQ24_F_0", "VOV")</f>
        <v>0</v>
      </c>
      <c r="BH41">
        <f>RTD("rtdtrading.rtdserver",, "WINQ24_F_0", "AJU")</f>
        <v>0</v>
      </c>
      <c r="BI41">
        <f>RTD("rtdtrading.rtdserver",, "WINQ24_F_0", "AJA")</f>
        <v>0</v>
      </c>
      <c r="BJ41">
        <f>RTD("rtdtrading.rtdserver",, "WINQ24_F_0", "PRT")</f>
        <v>0</v>
      </c>
      <c r="BK41">
        <f>RTD("rtdtrading.rtdserver",, "WINQ24_F_0", "QTE")</f>
        <v>0</v>
      </c>
      <c r="BL41">
        <f>RTD("rtdtrading.rtdserver",, "WINQ24_F_0", "VPJ")</f>
        <v>0</v>
      </c>
      <c r="BM41">
        <f>RTD("rtdtrading.rtdserver",, "WINQ24_F_0", "SEM")</f>
        <v>0</v>
      </c>
      <c r="BN41">
        <f>RTD("rtdtrading.rtdserver",, "WINQ24_F_0", "MES")</f>
        <v>0</v>
      </c>
      <c r="BO41">
        <f>RTD("rtdtrading.rtdserver",, "WINQ24_F_0", "3M")</f>
        <v>0</v>
      </c>
      <c r="BP41">
        <f>RTD("rtdtrading.rtdserver",, "WINQ24_F_0", "6M")</f>
        <v>0</v>
      </c>
      <c r="BQ41">
        <f>RTD("rtdtrading.rtdserver",, "WINQ24_F_0", "12M")</f>
        <v>0</v>
      </c>
      <c r="BR41">
        <f>RTD("rtdtrading.rtdserver",, "WINQ24_F_0", "ANO")</f>
        <v>0</v>
      </c>
      <c r="BS41">
        <f>RTD("rtdtrading.rtdserver",, "WINQ24_F_0", "TRIM")</f>
        <v>0</v>
      </c>
      <c r="BT41">
        <f>RTD("rtdtrading.rtdserver",, "WINQ24_F_0", "SEMES")</f>
        <v>0</v>
      </c>
      <c r="BU41" t="str">
        <f>RTD("rtdtrading.rtdserver",, "WINQ24_F_0", "VEN")</f>
        <v>29/12/2024</v>
      </c>
      <c r="BV41" t="str">
        <f>RTD("rtdtrading.rtdserver",, "WINQ24_F_0", "VAL")</f>
        <v>29/12/2024</v>
      </c>
      <c r="BW41">
        <f>RTD("rtdtrading.rtdserver",, "WINQ24_F_0", "CAB")</f>
        <v>0</v>
      </c>
      <c r="BX41" t="str">
        <f>RTD("rtdtrading.rtdserver",, "WINQ24_F_0", "EST")</f>
        <v>NONE</v>
      </c>
      <c r="BY41" t="str">
        <f>RTD("rtdtrading.rtdserver",, "WINQ24_F_0", "BLACK")</f>
        <v>-</v>
      </c>
      <c r="BZ41" t="str">
        <f>RTD("rtdtrading.rtdserver",, "WINQ24_F_0", "IMPVT")</f>
        <v>-</v>
      </c>
      <c r="CA41" t="str">
        <f>RTD("rtdtrading.rtdserver",, "WINQ24_F_0", "DELTA")</f>
        <v>-</v>
      </c>
      <c r="CB41" t="str">
        <f>RTD("rtdtrading.rtdserver",, "WINQ24_F_0", "GAMA")</f>
        <v>-</v>
      </c>
      <c r="CC41" t="str">
        <f>RTD("rtdtrading.rtdserver",, "WINQ24_F_0", "THETA")</f>
        <v>-</v>
      </c>
      <c r="CD41" t="str">
        <f>RTD("rtdtrading.rtdserver",, "WINQ24_F_0", "RHO")</f>
        <v>-</v>
      </c>
      <c r="CE41" t="str">
        <f>RTD("rtdtrading.rtdserver",, "WINQ24_F_0", "VEGA")</f>
        <v>-</v>
      </c>
      <c r="CF41" t="str">
        <f>RTD("rtdtrading.rtdserver",, "WINQ24_F_0", "VIA")</f>
        <v>-</v>
      </c>
      <c r="CG41" t="str">
        <f>RTD("rtdtrading.rtdserver",, "WINQ24_F_0", "VIB")</f>
        <v>-</v>
      </c>
      <c r="CH41" t="str">
        <f>RTD("rtdtrading.rtdserver",, "WINQ24_F_0", "DOBRAR")</f>
        <v>-</v>
      </c>
      <c r="CI41" t="str">
        <f>RTD("rtdtrading.rtdserver",, "WINQ24_F_0", "VIVH")</f>
        <v>-</v>
      </c>
      <c r="CJ41" t="str">
        <f>RTD("rtdtrading.rtdserver",, "WINQ24_F_0", "VINT")</f>
        <v>-</v>
      </c>
      <c r="CK41" t="str">
        <f>RTD("rtdtrading.rtdserver",, "WINQ24_F_0", "VEXT")</f>
        <v>-</v>
      </c>
    </row>
    <row r="42" spans="2:89" x14ac:dyDescent="0.25">
      <c r="B42" t="s">
        <v>261</v>
      </c>
      <c r="C42" t="s">
        <v>262</v>
      </c>
      <c r="D42" t="s">
        <v>142</v>
      </c>
      <c r="E42" s="76">
        <v>311257700</v>
      </c>
      <c r="F42">
        <v>0.48199999999999998</v>
      </c>
      <c r="J42" s="3">
        <f>RTD("rtdtrading.rtdserver",, $B42&amp;"_B_0", J$4)</f>
        <v>33.760000000000005</v>
      </c>
      <c r="K42" s="3">
        <f>RTD("rtdtrading.rtdserver",, $B42&amp;"_B_0", K$4)</f>
        <v>32.96</v>
      </c>
      <c r="L42" s="3">
        <f>RTD("rtdtrading.rtdserver",, $B42&amp;"_B_0", L$4)</f>
        <v>0</v>
      </c>
      <c r="M42" s="3">
        <f t="shared" si="3"/>
        <v>32.96</v>
      </c>
      <c r="O42" s="33">
        <f t="shared" si="4"/>
        <v>683.08752087396249</v>
      </c>
      <c r="P42" s="10">
        <f t="shared" si="0"/>
        <v>-2.369668246445511E-2</v>
      </c>
      <c r="Q42">
        <v>3.6999999999999998E-5</v>
      </c>
      <c r="R42" s="17">
        <f t="shared" si="5"/>
        <v>-2.3659682464455111E-2</v>
      </c>
      <c r="S42">
        <v>37</v>
      </c>
      <c r="T42" s="10" t="str">
        <f t="shared" si="6"/>
        <v>GOAU4</v>
      </c>
      <c r="U42" s="10">
        <f t="shared" si="12"/>
        <v>-9.3960975609756183E-4</v>
      </c>
      <c r="V42" t="str">
        <f t="shared" si="7"/>
        <v/>
      </c>
      <c r="W42" s="10" t="str">
        <f t="shared" si="8"/>
        <v>TOTS3</v>
      </c>
      <c r="X42" s="10">
        <f t="shared" si="9"/>
        <v>-3.8979626168224222E-3</v>
      </c>
      <c r="Y42" s="33">
        <f t="shared" si="10"/>
        <v>683.08752087396249</v>
      </c>
      <c r="Z42" s="80">
        <f t="shared" si="11"/>
        <v>0</v>
      </c>
      <c r="AA42" s="2"/>
      <c r="AB42" s="2"/>
      <c r="AC42" s="2"/>
      <c r="AD42" s="2"/>
      <c r="AE42" s="2"/>
      <c r="AF42" s="2"/>
      <c r="AG42" s="2"/>
      <c r="AH42" s="2">
        <f t="shared" ca="1" si="2"/>
        <v>406.66666666666436</v>
      </c>
      <c r="AI42" s="2">
        <v>39</v>
      </c>
      <c r="AJ42" s="2"/>
      <c r="AN42" t="str">
        <f>RTD("rtdtrading.rtdserver",, "WING24_F_0", "DAT")</f>
        <v>30/12/1899</v>
      </c>
      <c r="AO42" t="str">
        <f>RTD("rtdtrading.rtdserver",, "WING24_F_0", "HOR")</f>
        <v>00:00:00</v>
      </c>
      <c r="AP42">
        <f>RTD("rtdtrading.rtdserver",, "WING24_F_0", "ULT")</f>
        <v>0</v>
      </c>
      <c r="AQ42">
        <f>RTD("rtdtrading.rtdserver",, "WING24_F_0", "ABE")</f>
        <v>0</v>
      </c>
      <c r="AR42">
        <f>RTD("rtdtrading.rtdserver",, "WING24_F_0", "MAX")</f>
        <v>0</v>
      </c>
      <c r="AS42">
        <f>RTD("rtdtrading.rtdserver",, "WING24_F_0", "MIN")</f>
        <v>0</v>
      </c>
      <c r="AT42">
        <f>RTD("rtdtrading.rtdserver",, "WING24_F_0", "FEC")</f>
        <v>0</v>
      </c>
      <c r="AU42">
        <f>RTD("rtdtrading.rtdserver",, "WING24_F_0", "PEX")</f>
        <v>0</v>
      </c>
      <c r="AV42">
        <f>RTD("rtdtrading.rtdserver",, "WING24_F_0", "VAR")</f>
        <v>0</v>
      </c>
      <c r="AW42">
        <f>RTD("rtdtrading.rtdserver",, "WING24_F_0", "VARPTS")</f>
        <v>0</v>
      </c>
      <c r="AX42">
        <f>RTD("rtdtrading.rtdserver",, "WING24_F_0", "MED")</f>
        <v>0</v>
      </c>
      <c r="AY42" t="s">
        <v>249</v>
      </c>
      <c r="AZ42">
        <f>RTD("rtdtrading.rtdserver",, "WING24_F_0", "NEG")</f>
        <v>0</v>
      </c>
      <c r="BA42">
        <f>RTD("rtdtrading.rtdserver",, "WING24_F_0", "QUL")</f>
        <v>0</v>
      </c>
      <c r="BB42">
        <f>RTD("rtdtrading.rtdserver",, "WING24_F_0", "QTT")</f>
        <v>0</v>
      </c>
      <c r="BC42">
        <f>RTD("rtdtrading.rtdserver",, "WING24_F_0", "VOL")</f>
        <v>0</v>
      </c>
      <c r="BD42">
        <f>RTD("rtdtrading.rtdserver",, "WING24_F_0", "OCP")</f>
        <v>0</v>
      </c>
      <c r="BE42">
        <f>RTD("rtdtrading.rtdserver",, "WING24_F_0", "OVD")</f>
        <v>0</v>
      </c>
      <c r="BF42">
        <f>RTD("rtdtrading.rtdserver",, "WING24_F_0", "VOC")</f>
        <v>0</v>
      </c>
      <c r="BG42">
        <f>RTD("rtdtrading.rtdserver",, "WING24_F_0", "VOV")</f>
        <v>0</v>
      </c>
      <c r="BH42">
        <f>RTD("rtdtrading.rtdserver",, "WING24_F_0", "AJU")</f>
        <v>0</v>
      </c>
      <c r="BI42">
        <f>RTD("rtdtrading.rtdserver",, "WING24_F_0", "AJA")</f>
        <v>0</v>
      </c>
      <c r="BJ42">
        <f>RTD("rtdtrading.rtdserver",, "WING24_F_0", "PRT")</f>
        <v>0</v>
      </c>
      <c r="BK42">
        <f>RTD("rtdtrading.rtdserver",, "WING24_F_0", "QTE")</f>
        <v>0</v>
      </c>
      <c r="BL42">
        <f>RTD("rtdtrading.rtdserver",, "WING24_F_0", "VPJ")</f>
        <v>0</v>
      </c>
      <c r="BM42">
        <f>RTD("rtdtrading.rtdserver",, "WING24_F_0", "SEM")</f>
        <v>0</v>
      </c>
      <c r="BN42">
        <f>RTD("rtdtrading.rtdserver",, "WING24_F_0", "MES")</f>
        <v>0</v>
      </c>
      <c r="BO42">
        <f>RTD("rtdtrading.rtdserver",, "WING24_F_0", "3M")</f>
        <v>0</v>
      </c>
      <c r="BP42">
        <f>RTD("rtdtrading.rtdserver",, "WING24_F_0", "6M")</f>
        <v>0</v>
      </c>
      <c r="BQ42">
        <f>RTD("rtdtrading.rtdserver",, "WING24_F_0", "12M")</f>
        <v>0</v>
      </c>
      <c r="BR42">
        <f>RTD("rtdtrading.rtdserver",, "WING24_F_0", "ANO")</f>
        <v>0</v>
      </c>
      <c r="BS42">
        <f>RTD("rtdtrading.rtdserver",, "WING24_F_0", "TRIM")</f>
        <v>0</v>
      </c>
      <c r="BT42">
        <f>RTD("rtdtrading.rtdserver",, "WING24_F_0", "SEMES")</f>
        <v>0</v>
      </c>
      <c r="BU42" t="str">
        <f>RTD("rtdtrading.rtdserver",, "WING24_F_0", "VEN")</f>
        <v>14/02/2024</v>
      </c>
      <c r="BV42" t="str">
        <f>RTD("rtdtrading.rtdserver",, "WING24_F_0", "VAL")</f>
        <v>14/02/2024</v>
      </c>
      <c r="BW42">
        <f>RTD("rtdtrading.rtdserver",, "WING24_F_0", "CAB")</f>
        <v>0</v>
      </c>
      <c r="BX42" t="str">
        <f>RTD("rtdtrading.rtdserver",, "WING24_F_0", "EST")</f>
        <v>NONE</v>
      </c>
      <c r="BY42" t="str">
        <f>RTD("rtdtrading.rtdserver",, "WING24_F_0", "BLACK")</f>
        <v>-</v>
      </c>
      <c r="BZ42" t="str">
        <f>RTD("rtdtrading.rtdserver",, "WING24_F_0", "IMPVT")</f>
        <v>-</v>
      </c>
      <c r="CA42" t="str">
        <f>RTD("rtdtrading.rtdserver",, "WING24_F_0", "DELTA")</f>
        <v>-</v>
      </c>
      <c r="CB42" t="str">
        <f>RTD("rtdtrading.rtdserver",, "WING24_F_0", "GAMA")</f>
        <v>-</v>
      </c>
      <c r="CC42" t="str">
        <f>RTD("rtdtrading.rtdserver",, "WING24_F_0", "THETA")</f>
        <v>-</v>
      </c>
      <c r="CD42" t="str">
        <f>RTD("rtdtrading.rtdserver",, "WING24_F_0", "RHO")</f>
        <v>-</v>
      </c>
      <c r="CE42" t="str">
        <f>RTD("rtdtrading.rtdserver",, "WING24_F_0", "VEGA")</f>
        <v>-</v>
      </c>
      <c r="CF42" t="str">
        <f>RTD("rtdtrading.rtdserver",, "WING24_F_0", "VIA")</f>
        <v>-</v>
      </c>
      <c r="CG42" t="str">
        <f>RTD("rtdtrading.rtdserver",, "WING24_F_0", "VIB")</f>
        <v>-</v>
      </c>
      <c r="CH42" t="str">
        <f>RTD("rtdtrading.rtdserver",, "WING24_F_0", "DOBRAR")</f>
        <v>-</v>
      </c>
      <c r="CI42" t="str">
        <f>RTD("rtdtrading.rtdserver",, "WING24_F_0", "VIVH")</f>
        <v>-</v>
      </c>
      <c r="CJ42" t="str">
        <f>RTD("rtdtrading.rtdserver",, "WING24_F_0", "VINT")</f>
        <v>-</v>
      </c>
      <c r="CK42" t="str">
        <f>RTD("rtdtrading.rtdserver",, "WING24_F_0", "VEXT")</f>
        <v>-</v>
      </c>
    </row>
    <row r="43" spans="2:89" x14ac:dyDescent="0.25">
      <c r="B43" t="s">
        <v>264</v>
      </c>
      <c r="C43" t="s">
        <v>265</v>
      </c>
      <c r="D43" t="s">
        <v>142</v>
      </c>
      <c r="E43" s="76">
        <v>293521155</v>
      </c>
      <c r="F43">
        <v>0.29499999999999998</v>
      </c>
      <c r="J43" s="3">
        <f>RTD("rtdtrading.rtdserver",, $B43&amp;"_B_0", J$4)</f>
        <v>21.42</v>
      </c>
      <c r="K43" s="3">
        <f>RTD("rtdtrading.rtdserver",, $B43&amp;"_B_0", K$4)</f>
        <v>21.380000000000003</v>
      </c>
      <c r="L43" s="3">
        <f>RTD("rtdtrading.rtdserver",, $B43&amp;"_B_0", L$4)</f>
        <v>0</v>
      </c>
      <c r="M43" s="3">
        <f t="shared" si="3"/>
        <v>21.380000000000003</v>
      </c>
      <c r="O43" s="33">
        <f t="shared" si="4"/>
        <v>417.84590756034106</v>
      </c>
      <c r="P43" s="10">
        <f t="shared" si="0"/>
        <v>-1.8674136321195078E-3</v>
      </c>
      <c r="Q43">
        <v>3.8000000000000002E-5</v>
      </c>
      <c r="R43" s="17">
        <f t="shared" si="5"/>
        <v>-1.8294136321195078E-3</v>
      </c>
      <c r="S43">
        <v>38</v>
      </c>
      <c r="T43" s="10" t="str">
        <f t="shared" si="6"/>
        <v>PSSA3</v>
      </c>
      <c r="U43" s="10">
        <f t="shared" si="12"/>
        <v>-1.2256224555389817E-3</v>
      </c>
      <c r="V43" t="str">
        <f t="shared" si="7"/>
        <v/>
      </c>
      <c r="W43" s="10" t="str">
        <f t="shared" si="8"/>
        <v>EQTL3</v>
      </c>
      <c r="X43" s="10">
        <f t="shared" si="9"/>
        <v>-3.6403540548176124E-3</v>
      </c>
      <c r="Y43" s="33">
        <f t="shared" si="10"/>
        <v>417.84590756034106</v>
      </c>
      <c r="Z43" s="80">
        <f t="shared" si="11"/>
        <v>0</v>
      </c>
      <c r="AA43" s="2"/>
      <c r="AB43" s="2"/>
      <c r="AC43" s="2"/>
      <c r="AD43" s="2"/>
      <c r="AE43" s="2"/>
      <c r="AF43" s="2"/>
      <c r="AG43" s="2"/>
      <c r="AH43" s="2">
        <f t="shared" ca="1" si="2"/>
        <v>338.88888888888658</v>
      </c>
      <c r="AI43" s="2">
        <v>40</v>
      </c>
      <c r="AJ43" s="2"/>
      <c r="AN43" t="str">
        <f>RTD("rtdtrading.rtdserver",, "WINZ24_F_0", "DAT")</f>
        <v>30/12/1899</v>
      </c>
      <c r="AO43" t="str">
        <f>RTD("rtdtrading.rtdserver",, "WINZ24_F_0", "HOR")</f>
        <v>00:00:00</v>
      </c>
      <c r="AP43">
        <f>RTD("rtdtrading.rtdserver",, "WINZ24_F_0", "ULT")</f>
        <v>0</v>
      </c>
      <c r="AQ43">
        <f>RTD("rtdtrading.rtdserver",, "WINZ24_F_0", "ABE")</f>
        <v>0</v>
      </c>
      <c r="AR43">
        <f>RTD("rtdtrading.rtdserver",, "WINZ24_F_0", "MAX")</f>
        <v>0</v>
      </c>
      <c r="AS43">
        <f>RTD("rtdtrading.rtdserver",, "WINZ24_F_0", "MIN")</f>
        <v>0</v>
      </c>
      <c r="AT43">
        <f>RTD("rtdtrading.rtdserver",, "WINZ24_F_0", "FEC")</f>
        <v>0</v>
      </c>
      <c r="AU43">
        <f>RTD("rtdtrading.rtdserver",, "WINZ24_F_0", "PEX")</f>
        <v>0</v>
      </c>
      <c r="AV43">
        <f>RTD("rtdtrading.rtdserver",, "WINZ24_F_0", "VAR")</f>
        <v>0</v>
      </c>
      <c r="AW43">
        <f>RTD("rtdtrading.rtdserver",, "WINZ24_F_0", "VARPTS")</f>
        <v>0</v>
      </c>
      <c r="AX43">
        <f>RTD("rtdtrading.rtdserver",, "WINZ24_F_0", "MED")</f>
        <v>0</v>
      </c>
      <c r="AY43" t="s">
        <v>249</v>
      </c>
      <c r="AZ43">
        <f>RTD("rtdtrading.rtdserver",, "WINZ24_F_0", "NEG")</f>
        <v>0</v>
      </c>
      <c r="BA43">
        <f>RTD("rtdtrading.rtdserver",, "WINZ24_F_0", "QUL")</f>
        <v>0</v>
      </c>
      <c r="BB43">
        <f>RTD("rtdtrading.rtdserver",, "WINZ24_F_0", "QTT")</f>
        <v>0</v>
      </c>
      <c r="BC43">
        <f>RTD("rtdtrading.rtdserver",, "WINZ24_F_0", "VOL")</f>
        <v>0</v>
      </c>
      <c r="BD43">
        <f>RTD("rtdtrading.rtdserver",, "WINZ24_F_0", "OCP")</f>
        <v>0</v>
      </c>
      <c r="BE43">
        <f>RTD("rtdtrading.rtdserver",, "WINZ24_F_0", "OVD")</f>
        <v>0</v>
      </c>
      <c r="BF43">
        <f>RTD("rtdtrading.rtdserver",, "WINZ24_F_0", "VOC")</f>
        <v>0</v>
      </c>
      <c r="BG43">
        <f>RTD("rtdtrading.rtdserver",, "WINZ24_F_0", "VOV")</f>
        <v>0</v>
      </c>
      <c r="BH43">
        <f>RTD("rtdtrading.rtdserver",, "WINZ24_F_0", "AJU")</f>
        <v>0</v>
      </c>
      <c r="BI43">
        <f>RTD("rtdtrading.rtdserver",, "WINZ24_F_0", "AJA")</f>
        <v>0</v>
      </c>
      <c r="BJ43">
        <f>RTD("rtdtrading.rtdserver",, "WINZ24_F_0", "PRT")</f>
        <v>0</v>
      </c>
      <c r="BK43">
        <f>RTD("rtdtrading.rtdserver",, "WINZ24_F_0", "QTE")</f>
        <v>0</v>
      </c>
      <c r="BL43">
        <f>RTD("rtdtrading.rtdserver",, "WINZ24_F_0", "VPJ")</f>
        <v>0</v>
      </c>
      <c r="BM43">
        <f>RTD("rtdtrading.rtdserver",, "WINZ24_F_0", "SEM")</f>
        <v>0</v>
      </c>
      <c r="BN43">
        <f>RTD("rtdtrading.rtdserver",, "WINZ24_F_0", "MES")</f>
        <v>0</v>
      </c>
      <c r="BO43">
        <f>RTD("rtdtrading.rtdserver",, "WINZ24_F_0", "3M")</f>
        <v>0</v>
      </c>
      <c r="BP43">
        <f>RTD("rtdtrading.rtdserver",, "WINZ24_F_0", "6M")</f>
        <v>0</v>
      </c>
      <c r="BQ43">
        <f>RTD("rtdtrading.rtdserver",, "WINZ24_F_0", "12M")</f>
        <v>0</v>
      </c>
      <c r="BR43">
        <f>RTD("rtdtrading.rtdserver",, "WINZ24_F_0", "ANO")</f>
        <v>0</v>
      </c>
      <c r="BS43">
        <f>RTD("rtdtrading.rtdserver",, "WINZ24_F_0", "TRIM")</f>
        <v>0</v>
      </c>
      <c r="BT43">
        <f>RTD("rtdtrading.rtdserver",, "WINZ24_F_0", "SEMES")</f>
        <v>0</v>
      </c>
      <c r="BU43" t="str">
        <f>RTD("rtdtrading.rtdserver",, "WINZ24_F_0", "VEN")</f>
        <v>18/12/2024</v>
      </c>
      <c r="BV43" t="str">
        <f>RTD("rtdtrading.rtdserver",, "WINZ24_F_0", "VAL")</f>
        <v>18/12/2024</v>
      </c>
      <c r="BW43">
        <f>RTD("rtdtrading.rtdserver",, "WINZ24_F_0", "CAB")</f>
        <v>0</v>
      </c>
      <c r="BX43" t="str">
        <f>RTD("rtdtrading.rtdserver",, "WINZ24_F_0", "EST")</f>
        <v>NONE</v>
      </c>
      <c r="BY43" t="str">
        <f>RTD("rtdtrading.rtdserver",, "WINZ24_F_0", "BLACK")</f>
        <v>-</v>
      </c>
      <c r="BZ43" t="str">
        <f>RTD("rtdtrading.rtdserver",, "WINZ24_F_0", "IMPVT")</f>
        <v>-</v>
      </c>
      <c r="CA43" t="str">
        <f>RTD("rtdtrading.rtdserver",, "WINZ24_F_0", "DELTA")</f>
        <v>-</v>
      </c>
      <c r="CB43" t="str">
        <f>RTD("rtdtrading.rtdserver",, "WINZ24_F_0", "GAMA")</f>
        <v>-</v>
      </c>
      <c r="CC43" t="str">
        <f>RTD("rtdtrading.rtdserver",, "WINZ24_F_0", "THETA")</f>
        <v>-</v>
      </c>
      <c r="CD43" t="str">
        <f>RTD("rtdtrading.rtdserver",, "WINZ24_F_0", "RHO")</f>
        <v>-</v>
      </c>
      <c r="CE43" t="str">
        <f>RTD("rtdtrading.rtdserver",, "WINZ24_F_0", "VEGA")</f>
        <v>-</v>
      </c>
      <c r="CF43" t="str">
        <f>RTD("rtdtrading.rtdserver",, "WINZ24_F_0", "VIA")</f>
        <v>-</v>
      </c>
      <c r="CG43" t="str">
        <f>RTD("rtdtrading.rtdserver",, "WINZ24_F_0", "VIB")</f>
        <v>-</v>
      </c>
      <c r="CH43" t="str">
        <f>RTD("rtdtrading.rtdserver",, "WINZ24_F_0", "DOBRAR")</f>
        <v>-</v>
      </c>
      <c r="CI43" t="str">
        <f>RTD("rtdtrading.rtdserver",, "WINZ24_F_0", "VIVH")</f>
        <v>-</v>
      </c>
      <c r="CJ43" t="str">
        <f>RTD("rtdtrading.rtdserver",, "WINZ24_F_0", "VINT")</f>
        <v>-</v>
      </c>
      <c r="CK43" t="str">
        <f>RTD("rtdtrading.rtdserver",, "WINZ24_F_0", "VEXT")</f>
        <v>-</v>
      </c>
    </row>
    <row r="44" spans="2:89" x14ac:dyDescent="0.25">
      <c r="B44" t="s">
        <v>267</v>
      </c>
      <c r="C44" t="s">
        <v>268</v>
      </c>
      <c r="D44" t="s">
        <v>269</v>
      </c>
      <c r="E44" s="76">
        <v>211401696</v>
      </c>
      <c r="F44">
        <v>0.22700000000000001</v>
      </c>
      <c r="J44" s="3">
        <f>RTD("rtdtrading.rtdserver",, $B44&amp;"_B_0", J$4)</f>
        <v>23.05</v>
      </c>
      <c r="K44" s="3">
        <f>RTD("rtdtrading.rtdserver",, $B44&amp;"_B_0", K$4)</f>
        <v>22.880000000000003</v>
      </c>
      <c r="L44" s="3">
        <f>RTD("rtdtrading.rtdserver",, $B44&amp;"_B_0", L$4)</f>
        <v>0</v>
      </c>
      <c r="M44" s="3">
        <f t="shared" si="3"/>
        <v>22.880000000000003</v>
      </c>
      <c r="O44" s="33">
        <f t="shared" si="4"/>
        <v>322.05758480342041</v>
      </c>
      <c r="P44" s="10">
        <f t="shared" si="0"/>
        <v>-7.3752711496745116E-3</v>
      </c>
      <c r="Q44">
        <v>3.8999999999999999E-5</v>
      </c>
      <c r="R44" s="17">
        <f t="shared" si="5"/>
        <v>-7.3362711496745116E-3</v>
      </c>
      <c r="S44">
        <v>39</v>
      </c>
      <c r="T44" s="10" t="str">
        <f t="shared" si="6"/>
        <v>DIRR3</v>
      </c>
      <c r="U44" s="10">
        <f t="shared" si="12"/>
        <v>-1.3345442176870542E-3</v>
      </c>
      <c r="V44" t="str">
        <f t="shared" si="7"/>
        <v/>
      </c>
      <c r="W44" s="10" t="str">
        <f t="shared" si="8"/>
        <v>ELET3</v>
      </c>
      <c r="X44" s="10">
        <f t="shared" si="9"/>
        <v>-3.6247393811262843E-3</v>
      </c>
      <c r="Y44" s="33">
        <f t="shared" si="10"/>
        <v>322.05758480342041</v>
      </c>
      <c r="Z44" s="80">
        <f t="shared" si="11"/>
        <v>0</v>
      </c>
      <c r="AA44" s="2"/>
      <c r="AB44" s="2"/>
      <c r="AC44" s="2"/>
      <c r="AD44" s="2"/>
      <c r="AE44" s="2"/>
      <c r="AF44" s="2"/>
      <c r="AG44" s="2"/>
      <c r="AH44" s="2">
        <f t="shared" ca="1" si="2"/>
        <v>271.11111111110881</v>
      </c>
      <c r="AI44" s="2">
        <v>41</v>
      </c>
      <c r="AJ44" s="2"/>
      <c r="AN44" t="str">
        <f>RTD("rtdtrading.rtdserver",, "WINV24_F_0", "DAT")</f>
        <v>30/12/1899</v>
      </c>
      <c r="AO44" t="str">
        <f>RTD("rtdtrading.rtdserver",, "WINV24_F_0", "HOR")</f>
        <v>00:00:00</v>
      </c>
      <c r="AP44">
        <f>RTD("rtdtrading.rtdserver",, "WINV24_F_0", "ULT")</f>
        <v>0</v>
      </c>
      <c r="AQ44">
        <f>RTD("rtdtrading.rtdserver",, "WINV24_F_0", "ABE")</f>
        <v>0</v>
      </c>
      <c r="AR44">
        <f>RTD("rtdtrading.rtdserver",, "WINV24_F_0", "MAX")</f>
        <v>0</v>
      </c>
      <c r="AS44">
        <f>RTD("rtdtrading.rtdserver",, "WINV24_F_0", "MIN")</f>
        <v>0</v>
      </c>
      <c r="AT44">
        <f>RTD("rtdtrading.rtdserver",, "WINV24_F_0", "FEC")</f>
        <v>0</v>
      </c>
      <c r="AU44">
        <f>RTD("rtdtrading.rtdserver",, "WINV24_F_0", "PEX")</f>
        <v>0</v>
      </c>
      <c r="AV44">
        <f>RTD("rtdtrading.rtdserver",, "WINV24_F_0", "VAR")</f>
        <v>0</v>
      </c>
      <c r="AW44">
        <f>RTD("rtdtrading.rtdserver",, "WINV24_F_0", "VARPTS")</f>
        <v>0</v>
      </c>
      <c r="AX44">
        <f>RTD("rtdtrading.rtdserver",, "WINV24_F_0", "MED")</f>
        <v>0</v>
      </c>
      <c r="AY44" t="s">
        <v>249</v>
      </c>
      <c r="AZ44">
        <f>RTD("rtdtrading.rtdserver",, "WINV24_F_0", "NEG")</f>
        <v>0</v>
      </c>
      <c r="BA44">
        <f>RTD("rtdtrading.rtdserver",, "WINV24_F_0", "QUL")</f>
        <v>0</v>
      </c>
      <c r="BB44">
        <f>RTD("rtdtrading.rtdserver",, "WINV24_F_0", "QTT")</f>
        <v>0</v>
      </c>
      <c r="BC44">
        <f>RTD("rtdtrading.rtdserver",, "WINV24_F_0", "VOL")</f>
        <v>0</v>
      </c>
      <c r="BD44">
        <f>RTD("rtdtrading.rtdserver",, "WINV24_F_0", "OCP")</f>
        <v>0</v>
      </c>
      <c r="BE44">
        <f>RTD("rtdtrading.rtdserver",, "WINV24_F_0", "OVD")</f>
        <v>0</v>
      </c>
      <c r="BF44">
        <f>RTD("rtdtrading.rtdserver",, "WINV24_F_0", "VOC")</f>
        <v>0</v>
      </c>
      <c r="BG44">
        <f>RTD("rtdtrading.rtdserver",, "WINV24_F_0", "VOV")</f>
        <v>0</v>
      </c>
      <c r="BH44">
        <f>RTD("rtdtrading.rtdserver",, "WINV24_F_0", "AJU")</f>
        <v>0</v>
      </c>
      <c r="BI44">
        <f>RTD("rtdtrading.rtdserver",, "WINV24_F_0", "AJA")</f>
        <v>0</v>
      </c>
      <c r="BJ44">
        <f>RTD("rtdtrading.rtdserver",, "WINV24_F_0", "PRT")</f>
        <v>0</v>
      </c>
      <c r="BK44">
        <f>RTD("rtdtrading.rtdserver",, "WINV24_F_0", "QTE")</f>
        <v>0</v>
      </c>
      <c r="BL44">
        <f>RTD("rtdtrading.rtdserver",, "WINV24_F_0", "VPJ")</f>
        <v>0</v>
      </c>
      <c r="BM44">
        <f>RTD("rtdtrading.rtdserver",, "WINV24_F_0", "SEM")</f>
        <v>0</v>
      </c>
      <c r="BN44">
        <f>RTD("rtdtrading.rtdserver",, "WINV24_F_0", "MES")</f>
        <v>0</v>
      </c>
      <c r="BO44">
        <f>RTD("rtdtrading.rtdserver",, "WINV24_F_0", "3M")</f>
        <v>0</v>
      </c>
      <c r="BP44">
        <f>RTD("rtdtrading.rtdserver",, "WINV24_F_0", "6M")</f>
        <v>0</v>
      </c>
      <c r="BQ44">
        <f>RTD("rtdtrading.rtdserver",, "WINV24_F_0", "12M")</f>
        <v>0</v>
      </c>
      <c r="BR44">
        <f>RTD("rtdtrading.rtdserver",, "WINV24_F_0", "ANO")</f>
        <v>0</v>
      </c>
      <c r="BS44">
        <f>RTD("rtdtrading.rtdserver",, "WINV24_F_0", "TRIM")</f>
        <v>0</v>
      </c>
      <c r="BT44">
        <f>RTD("rtdtrading.rtdserver",, "WINV24_F_0", "SEMES")</f>
        <v>0</v>
      </c>
      <c r="BU44" t="str">
        <f>RTD("rtdtrading.rtdserver",, "WINV24_F_0", "VEN")</f>
        <v>16/10/2024</v>
      </c>
      <c r="BV44" t="str">
        <f>RTD("rtdtrading.rtdserver",, "WINV24_F_0", "VAL")</f>
        <v>16/10/2024</v>
      </c>
      <c r="BW44">
        <f>RTD("rtdtrading.rtdserver",, "WINV24_F_0", "CAB")</f>
        <v>0</v>
      </c>
      <c r="BX44" t="str">
        <f>RTD("rtdtrading.rtdserver",, "WINV24_F_0", "EST")</f>
        <v>NONE</v>
      </c>
      <c r="BY44" t="str">
        <f>RTD("rtdtrading.rtdserver",, "WINV24_F_0", "BLACK")</f>
        <v>-</v>
      </c>
      <c r="BZ44" t="str">
        <f>RTD("rtdtrading.rtdserver",, "WINV24_F_0", "IMPVT")</f>
        <v>-</v>
      </c>
      <c r="CA44" t="str">
        <f>RTD("rtdtrading.rtdserver",, "WINV24_F_0", "DELTA")</f>
        <v>-</v>
      </c>
      <c r="CB44" t="str">
        <f>RTD("rtdtrading.rtdserver",, "WINV24_F_0", "GAMA")</f>
        <v>-</v>
      </c>
      <c r="CC44" t="str">
        <f>RTD("rtdtrading.rtdserver",, "WINV24_F_0", "THETA")</f>
        <v>-</v>
      </c>
      <c r="CD44" t="str">
        <f>RTD("rtdtrading.rtdserver",, "WINV24_F_0", "RHO")</f>
        <v>-</v>
      </c>
      <c r="CE44" t="str">
        <f>RTD("rtdtrading.rtdserver",, "WINV24_F_0", "VEGA")</f>
        <v>-</v>
      </c>
      <c r="CF44" t="str">
        <f>RTD("rtdtrading.rtdserver",, "WINV24_F_0", "VIA")</f>
        <v>-</v>
      </c>
      <c r="CG44" t="str">
        <f>RTD("rtdtrading.rtdserver",, "WINV24_F_0", "VIB")</f>
        <v>-</v>
      </c>
      <c r="CH44" t="str">
        <f>RTD("rtdtrading.rtdserver",, "WINV24_F_0", "DOBRAR")</f>
        <v>-</v>
      </c>
      <c r="CI44" t="str">
        <f>RTD("rtdtrading.rtdserver",, "WINV24_F_0", "VIVH")</f>
        <v>-</v>
      </c>
      <c r="CJ44" t="str">
        <f>RTD("rtdtrading.rtdserver",, "WINV24_F_0", "VINT")</f>
        <v>-</v>
      </c>
      <c r="CK44" t="str">
        <f>RTD("rtdtrading.rtdserver",, "WINV24_F_0", "VEXT")</f>
        <v>-</v>
      </c>
    </row>
    <row r="45" spans="2:89" x14ac:dyDescent="0.25">
      <c r="B45" t="s">
        <v>271</v>
      </c>
      <c r="C45" t="s">
        <v>272</v>
      </c>
      <c r="D45" t="s">
        <v>301</v>
      </c>
      <c r="E45" s="76">
        <v>81838787</v>
      </c>
      <c r="F45">
        <v>0.17899999999999999</v>
      </c>
      <c r="J45" s="3">
        <f>RTD("rtdtrading.rtdserver",, $B45&amp;"_B_0", J$4)</f>
        <v>46.95</v>
      </c>
      <c r="K45" s="3">
        <f>RTD("rtdtrading.rtdserver",, $B45&amp;"_B_0", K$4)</f>
        <v>46.52</v>
      </c>
      <c r="L45" s="3">
        <f>RTD("rtdtrading.rtdserver",, $B45&amp;"_B_0", L$4)</f>
        <v>0</v>
      </c>
      <c r="M45" s="3">
        <f t="shared" si="3"/>
        <v>46.52</v>
      </c>
      <c r="O45" s="33">
        <f t="shared" si="4"/>
        <v>253.49414580879397</v>
      </c>
      <c r="P45" s="10">
        <f t="shared" si="0"/>
        <v>-9.1586794462193977E-3</v>
      </c>
      <c r="Q45">
        <v>4.0000000000000003E-5</v>
      </c>
      <c r="R45" s="17">
        <f t="shared" si="5"/>
        <v>-9.1186794462193976E-3</v>
      </c>
      <c r="S45">
        <v>40</v>
      </c>
      <c r="T45" s="10" t="str">
        <f t="shared" si="6"/>
        <v>ISAE4</v>
      </c>
      <c r="U45" s="10">
        <f t="shared" si="12"/>
        <v>-1.6263614005835446E-3</v>
      </c>
      <c r="V45" t="str">
        <f t="shared" si="7"/>
        <v/>
      </c>
      <c r="W45" s="10" t="str">
        <f t="shared" si="8"/>
        <v>ENGI11</v>
      </c>
      <c r="X45" s="10">
        <f t="shared" si="9"/>
        <v>-3.2895020746888958E-3</v>
      </c>
      <c r="Y45" s="33">
        <f t="shared" si="10"/>
        <v>253.49414580879397</v>
      </c>
      <c r="Z45" s="80">
        <f t="shared" si="11"/>
        <v>0</v>
      </c>
      <c r="AA45" s="2"/>
      <c r="AB45" s="2"/>
      <c r="AC45" s="2"/>
      <c r="AD45" s="2"/>
      <c r="AE45" s="2"/>
      <c r="AF45" s="2"/>
      <c r="AG45" s="2"/>
      <c r="AH45" s="2">
        <f t="shared" ca="1" si="2"/>
        <v>203.33333333333104</v>
      </c>
      <c r="AI45" s="2">
        <v>42</v>
      </c>
      <c r="AJ45" s="2"/>
      <c r="AN45" t="str">
        <f>RTD("rtdtrading.rtdserver",, "INDM24_F_0", "DAT")</f>
        <v>30/12/1899</v>
      </c>
      <c r="AO45" t="str">
        <f>RTD("rtdtrading.rtdserver",, "INDM24_F_0", "HOR")</f>
        <v>00:00:00</v>
      </c>
      <c r="AP45">
        <f>RTD("rtdtrading.rtdserver",, "INDM24_F_0", "ULT")</f>
        <v>0</v>
      </c>
      <c r="AQ45">
        <f>RTD("rtdtrading.rtdserver",, "INDM24_F_0", "ABE")</f>
        <v>0</v>
      </c>
      <c r="AR45">
        <f>RTD("rtdtrading.rtdserver",, "INDM24_F_0", "MAX")</f>
        <v>0</v>
      </c>
      <c r="AS45">
        <f>RTD("rtdtrading.rtdserver",, "INDM24_F_0", "MIN")</f>
        <v>0</v>
      </c>
      <c r="AT45">
        <f>RTD("rtdtrading.rtdserver",, "INDM24_F_0", "FEC")</f>
        <v>0</v>
      </c>
      <c r="AU45">
        <f>RTD("rtdtrading.rtdserver",, "INDM24_F_0", "PEX")</f>
        <v>0</v>
      </c>
      <c r="AV45">
        <f>RTD("rtdtrading.rtdserver",, "INDM24_F_0", "VAR")</f>
        <v>0</v>
      </c>
      <c r="AW45">
        <f>RTD("rtdtrading.rtdserver",, "INDM24_F_0", "VARPTS")</f>
        <v>0</v>
      </c>
      <c r="AX45">
        <f>RTD("rtdtrading.rtdserver",, "INDM24_F_0", "MED")</f>
        <v>0</v>
      </c>
      <c r="AY45" t="s">
        <v>181</v>
      </c>
      <c r="AZ45">
        <f>RTD("rtdtrading.rtdserver",, "INDM24_F_0", "NEG")</f>
        <v>0</v>
      </c>
      <c r="BA45">
        <f>RTD("rtdtrading.rtdserver",, "INDM24_F_0", "QUL")</f>
        <v>0</v>
      </c>
      <c r="BB45">
        <f>RTD("rtdtrading.rtdserver",, "INDM24_F_0", "QTT")</f>
        <v>0</v>
      </c>
      <c r="BC45">
        <f>RTD("rtdtrading.rtdserver",, "INDM24_F_0", "VOL")</f>
        <v>0</v>
      </c>
      <c r="BD45">
        <f>RTD("rtdtrading.rtdserver",, "INDM24_F_0", "OCP")</f>
        <v>0</v>
      </c>
      <c r="BE45">
        <f>RTD("rtdtrading.rtdserver",, "INDM24_F_0", "OVD")</f>
        <v>0</v>
      </c>
      <c r="BF45">
        <f>RTD("rtdtrading.rtdserver",, "INDM24_F_0", "VOC")</f>
        <v>0</v>
      </c>
      <c r="BG45">
        <f>RTD("rtdtrading.rtdserver",, "INDM24_F_0", "VOV")</f>
        <v>0</v>
      </c>
      <c r="BH45">
        <f>RTD("rtdtrading.rtdserver",, "INDM24_F_0", "AJU")</f>
        <v>0</v>
      </c>
      <c r="BI45">
        <f>RTD("rtdtrading.rtdserver",, "INDM24_F_0", "AJA")</f>
        <v>0</v>
      </c>
      <c r="BJ45">
        <f>RTD("rtdtrading.rtdserver",, "INDM24_F_0", "PRT")</f>
        <v>0</v>
      </c>
      <c r="BK45">
        <f>RTD("rtdtrading.rtdserver",, "INDM24_F_0", "QTE")</f>
        <v>0</v>
      </c>
      <c r="BL45">
        <f>RTD("rtdtrading.rtdserver",, "INDM24_F_0", "VPJ")</f>
        <v>0</v>
      </c>
      <c r="BM45">
        <f>RTD("rtdtrading.rtdserver",, "INDM24_F_0", "SEM")</f>
        <v>0</v>
      </c>
      <c r="BN45">
        <f>RTD("rtdtrading.rtdserver",, "INDM24_F_0", "MES")</f>
        <v>0</v>
      </c>
      <c r="BO45">
        <f>RTD("rtdtrading.rtdserver",, "INDM24_F_0", "3M")</f>
        <v>0</v>
      </c>
      <c r="BP45">
        <f>RTD("rtdtrading.rtdserver",, "INDM24_F_0", "6M")</f>
        <v>0</v>
      </c>
      <c r="BQ45">
        <f>RTD("rtdtrading.rtdserver",, "INDM24_F_0", "12M")</f>
        <v>0</v>
      </c>
      <c r="BR45">
        <f>RTD("rtdtrading.rtdserver",, "INDM24_F_0", "ANO")</f>
        <v>0</v>
      </c>
      <c r="BS45">
        <f>RTD("rtdtrading.rtdserver",, "INDM24_F_0", "TRIM")</f>
        <v>0</v>
      </c>
      <c r="BT45">
        <f>RTD("rtdtrading.rtdserver",, "INDM24_F_0", "SEMES")</f>
        <v>0</v>
      </c>
      <c r="BU45" t="str">
        <f>RTD("rtdtrading.rtdserver",, "INDM24_F_0", "VEN")</f>
        <v>29/12/2024</v>
      </c>
      <c r="BV45" t="str">
        <f>RTD("rtdtrading.rtdserver",, "INDM24_F_0", "VAL")</f>
        <v>29/12/2024</v>
      </c>
      <c r="BW45">
        <f>RTD("rtdtrading.rtdserver",, "INDM24_F_0", "CAB")</f>
        <v>0</v>
      </c>
      <c r="BX45" t="str">
        <f>RTD("rtdtrading.rtdserver",, "INDM24_F_0", "EST")</f>
        <v>NONE</v>
      </c>
      <c r="BY45" t="str">
        <f>RTD("rtdtrading.rtdserver",, "INDM24_F_0", "BLACK")</f>
        <v>-</v>
      </c>
      <c r="BZ45" t="str">
        <f>RTD("rtdtrading.rtdserver",, "INDM24_F_0", "IMPVT")</f>
        <v>-</v>
      </c>
      <c r="CA45" t="str">
        <f>RTD("rtdtrading.rtdserver",, "INDM24_F_0", "DELTA")</f>
        <v>-</v>
      </c>
      <c r="CB45" t="str">
        <f>RTD("rtdtrading.rtdserver",, "INDM24_F_0", "GAMA")</f>
        <v>-</v>
      </c>
      <c r="CC45" t="str">
        <f>RTD("rtdtrading.rtdserver",, "INDM24_F_0", "THETA")</f>
        <v>-</v>
      </c>
      <c r="CD45" t="str">
        <f>RTD("rtdtrading.rtdserver",, "INDM24_F_0", "RHO")</f>
        <v>-</v>
      </c>
      <c r="CE45" t="str">
        <f>RTD("rtdtrading.rtdserver",, "INDM24_F_0", "VEGA")</f>
        <v>-</v>
      </c>
      <c r="CF45" t="str">
        <f>RTD("rtdtrading.rtdserver",, "INDM24_F_0", "VIA")</f>
        <v>-</v>
      </c>
      <c r="CG45" t="str">
        <f>RTD("rtdtrading.rtdserver",, "INDM24_F_0", "VIB")</f>
        <v>-</v>
      </c>
      <c r="CH45" t="str">
        <f>RTD("rtdtrading.rtdserver",, "INDM24_F_0", "DOBRAR")</f>
        <v>-</v>
      </c>
      <c r="CI45" t="str">
        <f>RTD("rtdtrading.rtdserver",, "INDM24_F_0", "VIVH")</f>
        <v>-</v>
      </c>
      <c r="CJ45" t="str">
        <f>RTD("rtdtrading.rtdserver",, "INDM24_F_0", "VINT")</f>
        <v>-</v>
      </c>
      <c r="CK45" t="str">
        <f>RTD("rtdtrading.rtdserver",, "INDM24_F_0", "VEXT")</f>
        <v>-</v>
      </c>
    </row>
    <row r="46" spans="2:89" x14ac:dyDescent="0.25">
      <c r="B46" t="s">
        <v>274</v>
      </c>
      <c r="C46" t="s">
        <v>275</v>
      </c>
      <c r="D46" t="s">
        <v>167</v>
      </c>
      <c r="E46" s="76">
        <v>395801044</v>
      </c>
      <c r="F46">
        <v>0.44500000000000001</v>
      </c>
      <c r="J46" s="3">
        <f>RTD("rtdtrading.rtdserver",, $B46&amp;"_B_0", J$4)</f>
        <v>23.990000000000002</v>
      </c>
      <c r="K46" s="3">
        <f>RTD("rtdtrading.rtdserver",, $B46&amp;"_B_0", K$4)</f>
        <v>23.950000000000003</v>
      </c>
      <c r="L46" s="3">
        <f>RTD("rtdtrading.rtdserver",, $B46&amp;"_B_0", L$4)</f>
        <v>0</v>
      </c>
      <c r="M46" s="3">
        <f t="shared" si="3"/>
        <v>23.950000000000003</v>
      </c>
      <c r="O46" s="33">
        <f t="shared" si="4"/>
        <v>631.17748354931359</v>
      </c>
      <c r="P46" s="10">
        <f t="shared" si="0"/>
        <v>-1.6673614005835447E-3</v>
      </c>
      <c r="Q46">
        <v>4.1E-5</v>
      </c>
      <c r="R46" s="17">
        <f t="shared" si="5"/>
        <v>-1.6263614005835446E-3</v>
      </c>
      <c r="S46">
        <v>41</v>
      </c>
      <c r="T46" s="10" t="str">
        <f t="shared" si="6"/>
        <v>HYPE3</v>
      </c>
      <c r="U46" s="10">
        <f t="shared" si="12"/>
        <v>-1.8294136321195078E-3</v>
      </c>
      <c r="V46" t="str">
        <f t="shared" si="7"/>
        <v/>
      </c>
      <c r="W46" s="10" t="str">
        <f t="shared" si="8"/>
        <v>CPLE6</v>
      </c>
      <c r="X46" s="10">
        <f t="shared" si="9"/>
        <v>-3.1784420463628529E-3</v>
      </c>
      <c r="Y46" s="33">
        <f t="shared" si="10"/>
        <v>631.17748354931359</v>
      </c>
      <c r="Z46" s="80">
        <f t="shared" si="11"/>
        <v>0</v>
      </c>
      <c r="AA46" s="2"/>
      <c r="AB46" s="2"/>
      <c r="AC46" s="2"/>
      <c r="AD46" s="2"/>
      <c r="AE46" s="2"/>
      <c r="AF46" s="2"/>
      <c r="AG46" s="2"/>
      <c r="AH46" s="2">
        <f t="shared" ca="1" si="2"/>
        <v>135.55555555555327</v>
      </c>
      <c r="AI46" s="2">
        <v>43</v>
      </c>
      <c r="AJ46" s="2"/>
      <c r="AM46" t="s">
        <v>279</v>
      </c>
      <c r="AN46" t="str">
        <f>RTD("rtdtrading.rtdserver",, "DOLPRO_#_0", "DAT")</f>
        <v>15/10/2025</v>
      </c>
      <c r="AO46" t="str">
        <f>RTD("rtdtrading.rtdserver",, "DOLPRO_#_0", "HOR")</f>
        <v>09:23:33</v>
      </c>
      <c r="AP46">
        <f>RTD("rtdtrading.rtdserver",, "DOLPRO_#_0", "ULT")</f>
        <v>5489.5</v>
      </c>
      <c r="AQ46">
        <f>RTD("rtdtrading.rtdserver",, "DOLPRO_#_0", "ABE")</f>
        <v>5482.5</v>
      </c>
      <c r="AR46">
        <f>RTD("rtdtrading.rtdserver",, "DOLPRO_#_0", "MAX")</f>
        <v>5493.5</v>
      </c>
      <c r="AS46">
        <f>RTD("rtdtrading.rtdserver",, "DOLPRO_#_0", "MIN")</f>
        <v>5478.5</v>
      </c>
      <c r="AT46">
        <f>RTD("rtdtrading.rtdserver",, "DOLPRO_#_0", "FEC")</f>
        <v>5500.5</v>
      </c>
      <c r="AU46">
        <f>RTD("rtdtrading.rtdserver",, "DOLPRO_#_0", "PEX")</f>
        <v>0</v>
      </c>
      <c r="AV46">
        <f>RTD("rtdtrading.rtdserver",, "DOLPRO_#_0", "VAR")</f>
        <v>-0.19998181983456051</v>
      </c>
      <c r="AW46">
        <f>RTD("rtdtrading.rtdserver",, "DOLPRO_#_0", "VARPTS")</f>
        <v>-11</v>
      </c>
      <c r="AX46">
        <f>RTD("rtdtrading.rtdserver",, "DOLPRO_#_0", "MED")</f>
        <v>5486.1122941157728</v>
      </c>
      <c r="AY46" t="s">
        <v>280</v>
      </c>
      <c r="AZ46">
        <f>RTD("rtdtrading.rtdserver",, "DOLPRO_#_0", "NEG")</f>
        <v>74215</v>
      </c>
      <c r="BA46">
        <f>RTD("rtdtrading.rtdserver",, "DOLPRO_#_0", "QUL")</f>
        <v>1</v>
      </c>
      <c r="BB46">
        <f>RTD("rtdtrading.rtdserver",, "DOLPRO_#_0", "QTT")</f>
        <v>313890</v>
      </c>
      <c r="BC46">
        <f>RTD("rtdtrading.rtdserver",, "DOLPRO_#_0", "VOL")</f>
        <v>17220357880</v>
      </c>
      <c r="BD46">
        <f>RTD("rtdtrading.rtdserver",, "DOLPRO_#_0", "OCP")</f>
        <v>5489</v>
      </c>
      <c r="BE46">
        <f>RTD("rtdtrading.rtdserver",, "DOLPRO_#_0", "OVD")</f>
        <v>5489.5</v>
      </c>
      <c r="BF46">
        <f>RTD("rtdtrading.rtdserver",, "DOLPRO_#_0", "VOC")</f>
        <v>607</v>
      </c>
      <c r="BG46">
        <f>RTD("rtdtrading.rtdserver",, "DOLPRO_#_0", "VOV")</f>
        <v>105</v>
      </c>
      <c r="BH46">
        <f>RTD("rtdtrading.rtdserver",, "DOLPRO_#_0", "AJU")</f>
        <v>0</v>
      </c>
      <c r="BI46">
        <f>RTD("rtdtrading.rtdserver",, "DOLPRO_#_0", "AJA")</f>
        <v>5489.06</v>
      </c>
      <c r="BJ46">
        <f>RTD("rtdtrading.rtdserver",, "DOLPRO_#_0", "PRT")</f>
        <v>0</v>
      </c>
      <c r="BK46">
        <f>RTD("rtdtrading.rtdserver",, "DOLPRO_#_0", "QTE")</f>
        <v>0</v>
      </c>
      <c r="BL46">
        <f>RTD("rtdtrading.rtdserver",, "DOLPRO_#_0", "VPJ")</f>
        <v>441161621529.87927</v>
      </c>
      <c r="BM46">
        <f>RTD("rtdtrading.rtdserver",, "DOLPRO_#_0", "SEM")</f>
        <v>-1.259106034715352</v>
      </c>
      <c r="BN46">
        <f>RTD("rtdtrading.rtdserver",, "DOLPRO_#_0", "MES")</f>
        <v>2.3969408692408134</v>
      </c>
      <c r="BO46">
        <f>RTD("rtdtrading.rtdserver",, "DOLPRO_#_0", "3M")</f>
        <v>-1.515966989594546</v>
      </c>
      <c r="BP46">
        <f>RTD("rtdtrading.rtdserver",, "DOLPRO_#_0", "6M")</f>
        <v>-8.4604032004490897</v>
      </c>
      <c r="BQ46">
        <f>RTD("rtdtrading.rtdserver",, "DOLPRO_#_0", "12M")</f>
        <v>-7.0409137332059197</v>
      </c>
      <c r="BR46">
        <f>RTD("rtdtrading.rtdserver",, "DOLPRO_#_0", "ANO")</f>
        <v>-14.837528714312439</v>
      </c>
      <c r="BS46">
        <f>RTD("rtdtrading.rtdserver",, "DOLPRO_#_0", "TRIM")</f>
        <v>2.3969408692408134</v>
      </c>
      <c r="BT46">
        <f>RTD("rtdtrading.rtdserver",, "DOLPRO_#_0", "SEMES")</f>
        <v>0.29231752991687221</v>
      </c>
      <c r="BU46" t="str">
        <f>RTD("rtdtrading.rtdserver",, "DOLPRO_#_0", "VEN")</f>
        <v>15/11/2025</v>
      </c>
      <c r="BV46" t="str">
        <f>RTD("rtdtrading.rtdserver",, "DOLPRO_#_0", "VAL")</f>
        <v>30/12/1899</v>
      </c>
      <c r="BW46">
        <f>RTD("rtdtrading.rtdserver",, "DOLPRO_#_0", "CAB")</f>
        <v>2042854</v>
      </c>
      <c r="BX46" t="str">
        <f>RTD("rtdtrading.rtdserver",, "DOLPRO_#_0", "EST")</f>
        <v>Aberto</v>
      </c>
      <c r="BY46" t="str">
        <f>RTD("rtdtrading.rtdserver",, "DOLPRO_#_0", "BLACK")</f>
        <v>-</v>
      </c>
      <c r="BZ46" t="str">
        <f>RTD("rtdtrading.rtdserver",, "DOLPRO_#_0", "IMPVT")</f>
        <v>-</v>
      </c>
      <c r="CA46" t="str">
        <f>RTD("rtdtrading.rtdserver",, "DOLPRO_#_0", "DELTA")</f>
        <v>-</v>
      </c>
      <c r="CB46" t="str">
        <f>RTD("rtdtrading.rtdserver",, "DOLPRO_#_0", "GAMA")</f>
        <v>-</v>
      </c>
      <c r="CC46" t="str">
        <f>RTD("rtdtrading.rtdserver",, "DOLPRO_#_0", "THETA")</f>
        <v>-</v>
      </c>
      <c r="CD46" t="str">
        <f>RTD("rtdtrading.rtdserver",, "DOLPRO_#_0", "RHO")</f>
        <v>-</v>
      </c>
      <c r="CE46" t="str">
        <f>RTD("rtdtrading.rtdserver",, "DOLPRO_#_0", "VEGA")</f>
        <v>-</v>
      </c>
      <c r="CF46" t="str">
        <f>RTD("rtdtrading.rtdserver",, "DOLPRO_#_0", "VIA")</f>
        <v>-</v>
      </c>
      <c r="CG46" t="str">
        <f>RTD("rtdtrading.rtdserver",, "DOLPRO_#_0", "VIB")</f>
        <v>-</v>
      </c>
      <c r="CH46" t="str">
        <f>RTD("rtdtrading.rtdserver",, "DOLPRO_#_0", "DOBRAR")</f>
        <v>-</v>
      </c>
      <c r="CI46" t="str">
        <f>RTD("rtdtrading.rtdserver",, "DOLPRO_#_0", "VIVH")</f>
        <v>-</v>
      </c>
      <c r="CJ46" t="str">
        <f>RTD("rtdtrading.rtdserver",, "DOLPRO_#_0", "VINT")</f>
        <v>-</v>
      </c>
      <c r="CK46" t="str">
        <f>RTD("rtdtrading.rtdserver",, "DOLPRO_#_0", "VEXT")</f>
        <v>-</v>
      </c>
    </row>
    <row r="47" spans="2:89" x14ac:dyDescent="0.25">
      <c r="B47" t="s">
        <v>232</v>
      </c>
      <c r="C47" t="s">
        <v>277</v>
      </c>
      <c r="D47" t="s">
        <v>167</v>
      </c>
      <c r="E47" s="76">
        <v>5853286928</v>
      </c>
      <c r="F47">
        <v>3.0289999999999999</v>
      </c>
      <c r="J47" s="3">
        <f>RTD("rtdtrading.rtdserver",, $B47&amp;"_B_0", J$4)</f>
        <v>11</v>
      </c>
      <c r="K47" s="3">
        <f>RTD("rtdtrading.rtdserver",, $B47&amp;"_B_0", K$4)</f>
        <v>11.01</v>
      </c>
      <c r="L47" s="3">
        <f>RTD("rtdtrading.rtdserver",, $B47&amp;"_B_0", L$4)</f>
        <v>0</v>
      </c>
      <c r="M47" s="3">
        <f t="shared" si="3"/>
        <v>11.01</v>
      </c>
      <c r="O47" s="33">
        <f t="shared" si="4"/>
        <v>4290.9769056499481</v>
      </c>
      <c r="P47" s="10">
        <f t="shared" si="0"/>
        <v>9.0909090909097046E-4</v>
      </c>
      <c r="Q47">
        <v>4.1999999999999998E-5</v>
      </c>
      <c r="R47" s="17">
        <f t="shared" si="5"/>
        <v>9.510909090909705E-4</v>
      </c>
      <c r="S47">
        <v>42</v>
      </c>
      <c r="T47" s="10" t="str">
        <f t="shared" si="6"/>
        <v>CPLE6</v>
      </c>
      <c r="U47" s="10">
        <f t="shared" si="12"/>
        <v>-3.1784420463628529E-3</v>
      </c>
      <c r="V47" t="str">
        <f t="shared" si="7"/>
        <v/>
      </c>
      <c r="W47" s="10" t="str">
        <f t="shared" si="8"/>
        <v>HYPE3</v>
      </c>
      <c r="X47" s="10">
        <f t="shared" si="9"/>
        <v>-1.8294136321195078E-3</v>
      </c>
      <c r="Y47" s="33">
        <f t="shared" si="10"/>
        <v>4290.9769056499481</v>
      </c>
      <c r="Z47" s="80">
        <f t="shared" si="11"/>
        <v>0</v>
      </c>
      <c r="AA47" s="2"/>
      <c r="AB47" s="2"/>
      <c r="AC47" s="2"/>
      <c r="AD47" s="2"/>
      <c r="AE47" s="2"/>
      <c r="AF47" s="2"/>
      <c r="AG47" s="2"/>
      <c r="AH47" s="2">
        <f t="shared" ca="1" si="2"/>
        <v>67.777777777775498</v>
      </c>
      <c r="AI47" s="2">
        <v>44</v>
      </c>
      <c r="AJ47" s="2"/>
      <c r="AM47" t="s">
        <v>282</v>
      </c>
      <c r="AN47" t="str">
        <f>RTD("rtdtrading.rtdserver",, "WDOFUTV_F_0", "DAT")</f>
        <v>15/10/2025</v>
      </c>
      <c r="AO47" t="str">
        <f>RTD("rtdtrading.rtdserver",, "WDOFUTV_F_0", "HOR")</f>
        <v>09:23:34</v>
      </c>
      <c r="AP47">
        <f>RTD("rtdtrading.rtdserver",, "WDOFUTV_F_0", "ULT")</f>
        <v>5489.5</v>
      </c>
      <c r="AQ47">
        <f>RTD("rtdtrading.rtdserver",, "WDOFUTV_F_0", "ABE")</f>
        <v>5482.5</v>
      </c>
      <c r="AR47">
        <f>RTD("rtdtrading.rtdserver",, "WDOFUTV_F_0", "MAX")</f>
        <v>5493.5</v>
      </c>
      <c r="AS47">
        <f>RTD("rtdtrading.rtdserver",, "WDOFUTV_F_0", "MIN")</f>
        <v>5478.5</v>
      </c>
      <c r="AT47">
        <f>RTD("rtdtrading.rtdserver",, "WDOFUTV_F_0", "FEC")</f>
        <v>5500.5</v>
      </c>
      <c r="AU47">
        <f>RTD("rtdtrading.rtdserver",, "WDOFUTV_F_0", "PEX")</f>
        <v>0</v>
      </c>
      <c r="AV47">
        <f>RTD("rtdtrading.rtdserver",, "WDOFUTV_F_0", "VAR")</f>
        <v>-0.19998181983456051</v>
      </c>
      <c r="AW47">
        <f>RTD("rtdtrading.rtdserver",, "WDOFUTV_F_0", "VARPTS")</f>
        <v>-11</v>
      </c>
      <c r="AX47">
        <f>RTD("rtdtrading.rtdserver",, "WDOFUTV_F_0", "MED")</f>
        <v>5486.0743684321224</v>
      </c>
      <c r="AY47" t="s">
        <v>253</v>
      </c>
      <c r="AZ47">
        <f>RTD("rtdtrading.rtdserver",, "WDOFUTV_F_0", "NEG")</f>
        <v>72872</v>
      </c>
      <c r="BA47">
        <f>RTD("rtdtrading.rtdserver",, "WDOFUTV_F_0", "QUL")</f>
        <v>3</v>
      </c>
      <c r="BB47">
        <f>RTD("rtdtrading.rtdserver",, "WDOFUTV_F_0", "QTT")</f>
        <v>256742</v>
      </c>
      <c r="BC47">
        <f>RTD("rtdtrading.rtdserver",, "WDOFUTV_F_0", "VOL")</f>
        <v>14085057055</v>
      </c>
      <c r="BD47">
        <f>RTD("rtdtrading.rtdserver",, "WDOFUTV_F_0", "OCP")</f>
        <v>5489</v>
      </c>
      <c r="BE47">
        <f>RTD("rtdtrading.rtdserver",, "WDOFUTV_F_0", "OVD")</f>
        <v>5489.5</v>
      </c>
      <c r="BF47">
        <f>RTD("rtdtrading.rtdserver",, "WDOFUTV_F_0", "VOC")</f>
        <v>458</v>
      </c>
      <c r="BG47">
        <f>RTD("rtdtrading.rtdserver",, "WDOFUTV_F_0", "VOV")</f>
        <v>105</v>
      </c>
      <c r="BH47">
        <f>RTD("rtdtrading.rtdserver",, "WDOFUTV_F_0", "AJU")</f>
        <v>0</v>
      </c>
      <c r="BI47">
        <f>RTD("rtdtrading.rtdserver",, "WDOFUTV_F_0", "AJA")</f>
        <v>5489.0649999999996</v>
      </c>
      <c r="BJ47">
        <f>RTD("rtdtrading.rtdserver",, "WDOFUTV_F_0", "PRT")</f>
        <v>0</v>
      </c>
      <c r="BK47">
        <f>RTD("rtdtrading.rtdserver",, "WDOFUTV_F_0", "QTE")</f>
        <v>0</v>
      </c>
      <c r="BL47">
        <f>RTD("rtdtrading.rtdserver",, "WDOFUTV_F_0", "VPJ")</f>
        <v>360584383828.16949</v>
      </c>
      <c r="BM47">
        <f>RTD("rtdtrading.rtdserver",, "WDOFUTV_F_0", "SEM")</f>
        <v>-1.2591060347153682</v>
      </c>
      <c r="BN47">
        <f>RTD("rtdtrading.rtdserver",, "WDOFUTV_F_0", "MES")</f>
        <v>2.3969408692408134</v>
      </c>
      <c r="BO47">
        <f>RTD("rtdtrading.rtdserver",, "WDOFUTV_F_0", "3M")</f>
        <v>-3.7179534582847582</v>
      </c>
      <c r="BP47">
        <f>RTD("rtdtrading.rtdserver",, "WDOFUTV_F_0", "6M")</f>
        <v>-10.507119675828378</v>
      </c>
      <c r="BQ47">
        <f>RTD("rtdtrading.rtdserver",, "WDOFUTV_F_0", "12M")</f>
        <v>-9.1193689532407944</v>
      </c>
      <c r="BR47">
        <f>RTD("rtdtrading.rtdserver",, "WDOFUTV_F_0", "ANO")</f>
        <v>-16.741660471532864</v>
      </c>
      <c r="BS47">
        <f>RTD("rtdtrading.rtdserver",, "WDOFUTV_F_0", "TRIM")</f>
        <v>2.3969408692408134</v>
      </c>
      <c r="BT47">
        <f>RTD("rtdtrading.rtdserver",, "WDOFUTV_F_0", "SEMES")</f>
        <v>-1.9501000723409854</v>
      </c>
      <c r="BU47" t="str">
        <f>RTD("rtdtrading.rtdserver",, "WDOFUTV_F_0", "VEN")</f>
        <v>03/11/2025</v>
      </c>
      <c r="BV47" t="str">
        <f>RTD("rtdtrading.rtdserver",, "WDOFUTV_F_0", "VAL")</f>
        <v>31/10/2025</v>
      </c>
      <c r="BW47">
        <f>RTD("rtdtrading.rtdserver",, "WDOFUTV_F_0", "CAB")</f>
        <v>1117125</v>
      </c>
      <c r="BX47" t="str">
        <f>RTD("rtdtrading.rtdserver",, "WDOFUTV_F_0", "EST")</f>
        <v>Aberto</v>
      </c>
      <c r="BY47" t="str">
        <f>RTD("rtdtrading.rtdserver",, "WDOFUTV_F_0", "BLACK")</f>
        <v>-</v>
      </c>
      <c r="BZ47" t="str">
        <f>RTD("rtdtrading.rtdserver",, "WDOFUTV_F_0", "IMPVT")</f>
        <v>-</v>
      </c>
      <c r="CA47" t="str">
        <f>RTD("rtdtrading.rtdserver",, "WDOFUTV_F_0", "DELTA")</f>
        <v>-</v>
      </c>
      <c r="CB47" t="str">
        <f>RTD("rtdtrading.rtdserver",, "WDOFUTV_F_0", "GAMA")</f>
        <v>-</v>
      </c>
      <c r="CC47" t="str">
        <f>RTD("rtdtrading.rtdserver",, "WDOFUTV_F_0", "THETA")</f>
        <v>-</v>
      </c>
      <c r="CD47" t="str">
        <f>RTD("rtdtrading.rtdserver",, "WDOFUTV_F_0", "RHO")</f>
        <v>-</v>
      </c>
      <c r="CE47" t="str">
        <f>RTD("rtdtrading.rtdserver",, "WDOFUTV_F_0", "VEGA")</f>
        <v>-</v>
      </c>
      <c r="CF47" t="str">
        <f>RTD("rtdtrading.rtdserver",, "WDOFUTV_F_0", "VIA")</f>
        <v>-</v>
      </c>
      <c r="CG47" t="str">
        <f>RTD("rtdtrading.rtdserver",, "WDOFUTV_F_0", "VIB")</f>
        <v>-</v>
      </c>
      <c r="CH47" t="str">
        <f>RTD("rtdtrading.rtdserver",, "WDOFUTV_F_0", "DOBRAR")</f>
        <v>-</v>
      </c>
      <c r="CI47" t="str">
        <f>RTD("rtdtrading.rtdserver",, "WDOFUTV_F_0", "VIVH")</f>
        <v>-</v>
      </c>
      <c r="CJ47" t="str">
        <f>RTD("rtdtrading.rtdserver",, "WDOFUTV_F_0", "VINT")</f>
        <v>-</v>
      </c>
      <c r="CK47" t="str">
        <f>RTD("rtdtrading.rtdserver",, "WDOFUTV_F_0", "VEXT")</f>
        <v>-</v>
      </c>
    </row>
    <row r="48" spans="2:89" x14ac:dyDescent="0.25">
      <c r="B48" t="s">
        <v>28</v>
      </c>
      <c r="C48" t="s">
        <v>281</v>
      </c>
      <c r="D48" t="s">
        <v>167</v>
      </c>
      <c r="E48" s="76">
        <v>4611334219</v>
      </c>
      <c r="F48">
        <v>8.1159999999999997</v>
      </c>
      <c r="J48" s="3">
        <f>RTD("rtdtrading.rtdserver",, $B48&amp;"_B_0", J$4)</f>
        <v>37.29</v>
      </c>
      <c r="K48" s="3">
        <f>RTD("rtdtrading.rtdserver",, $B48&amp;"_B_0", K$4)</f>
        <v>37.450000000000003</v>
      </c>
      <c r="L48" s="3">
        <f>RTD("rtdtrading.rtdserver",, $B48&amp;"_B_0", L$4)</f>
        <v>0</v>
      </c>
      <c r="M48" s="3">
        <f t="shared" si="3"/>
        <v>37.450000000000003</v>
      </c>
      <c r="O48" s="33">
        <f t="shared" si="4"/>
        <v>11498.666191143737</v>
      </c>
      <c r="P48" s="10">
        <f t="shared" si="0"/>
        <v>4.2906945561813625E-3</v>
      </c>
      <c r="Q48">
        <v>4.3000000000000002E-5</v>
      </c>
      <c r="R48" s="17">
        <f t="shared" si="5"/>
        <v>4.3336945561813622E-3</v>
      </c>
      <c r="S48">
        <v>43</v>
      </c>
      <c r="T48" s="10" t="str">
        <f t="shared" si="6"/>
        <v>ENGI11</v>
      </c>
      <c r="U48" s="10">
        <f t="shared" si="12"/>
        <v>-3.2895020746888958E-3</v>
      </c>
      <c r="V48" t="str">
        <f t="shared" si="7"/>
        <v/>
      </c>
      <c r="W48" s="10" t="str">
        <f t="shared" si="8"/>
        <v>ISAE4</v>
      </c>
      <c r="X48" s="10">
        <f t="shared" si="9"/>
        <v>-1.6263614005835446E-3</v>
      </c>
      <c r="Y48" s="33">
        <f t="shared" si="10"/>
        <v>11498.666191143737</v>
      </c>
      <c r="Z48" s="80">
        <f t="shared" si="11"/>
        <v>0</v>
      </c>
      <c r="AA48" s="2"/>
      <c r="AB48" s="2"/>
      <c r="AC48" s="2"/>
      <c r="AD48" s="2"/>
      <c r="AE48" s="2"/>
      <c r="AF48" s="2"/>
      <c r="AG48" s="2"/>
      <c r="AH48" s="89">
        <f t="shared" ca="1" si="2"/>
        <v>-2.2737367544323206E-12</v>
      </c>
      <c r="AI48" s="2">
        <v>45</v>
      </c>
      <c r="AJ48" s="2"/>
      <c r="AM48" t="s">
        <v>285</v>
      </c>
      <c r="AN48" t="str">
        <f>RTD("rtdtrading.rtdserver",, "IFIX_B_0", "DAT")</f>
        <v>14/10/2025</v>
      </c>
      <c r="AO48" t="str">
        <f>RTD("rtdtrading.rtdserver",, "IFIX_B_0", "HOR")</f>
        <v>17:22:00</v>
      </c>
      <c r="AP48">
        <f>RTD("rtdtrading.rtdserver",, "IFIX_B_0", "ULT")</f>
        <v>3575.46</v>
      </c>
      <c r="AQ48">
        <f>RTD("rtdtrading.rtdserver",, "IFIX_B_0", "ABE")</f>
        <v>3569.94</v>
      </c>
      <c r="AR48">
        <f>RTD("rtdtrading.rtdserver",, "IFIX_B_0", "MAX")</f>
        <v>3579.52</v>
      </c>
      <c r="AS48">
        <f>RTD("rtdtrading.rtdserver",, "IFIX_B_0", "MIN")</f>
        <v>3569.94</v>
      </c>
      <c r="AT48">
        <f>RTD("rtdtrading.rtdserver",, "IFIX_B_0", "FEC")</f>
        <v>3569.96</v>
      </c>
      <c r="AU48">
        <f>RTD("rtdtrading.rtdserver",, "IFIX_B_0", "PEX")</f>
        <v>0</v>
      </c>
      <c r="AV48">
        <f>RTD("rtdtrading.rtdserver",, "IFIX_B_0", "VAR")</f>
        <v>0.15406335084986947</v>
      </c>
      <c r="AW48">
        <f>RTD("rtdtrading.rtdserver",, "IFIX_B_0", "VARPTS")</f>
        <v>5.5</v>
      </c>
      <c r="AX48">
        <f>RTD("rtdtrading.rtdserver",, "IFIX_B_0", "MED")</f>
        <v>3573.7150000000001</v>
      </c>
      <c r="AY48" t="s">
        <v>286</v>
      </c>
      <c r="AZ48">
        <f>RTD("rtdtrading.rtdserver",, "IFIX_B_0", "NEG")</f>
        <v>431181</v>
      </c>
      <c r="BA48">
        <f>RTD("rtdtrading.rtdserver",, "IFIX_B_0", "QUL")</f>
        <v>0</v>
      </c>
      <c r="BB48">
        <f>RTD("rtdtrading.rtdserver",, "IFIX_B_0", "QTT")</f>
        <v>11917927</v>
      </c>
      <c r="BC48">
        <f>RTD("rtdtrading.rtdserver",, "IFIX_B_0", "VOL")</f>
        <v>255437590.28</v>
      </c>
      <c r="BD48">
        <f>RTD("rtdtrading.rtdserver",, "IFIX_B_0", "OCP")</f>
        <v>0</v>
      </c>
      <c r="BE48">
        <f>RTD("rtdtrading.rtdserver",, "IFIX_B_0", "OVD")</f>
        <v>0</v>
      </c>
      <c r="BF48">
        <f>RTD("rtdtrading.rtdserver",, "IFIX_B_0", "VOC")</f>
        <v>0</v>
      </c>
      <c r="BG48">
        <f>RTD("rtdtrading.rtdserver",, "IFIX_B_0", "VOV")</f>
        <v>0</v>
      </c>
      <c r="BH48">
        <f>RTD("rtdtrading.rtdserver",, "IFIX_B_0", "AJU")</f>
        <v>3575</v>
      </c>
      <c r="BI48">
        <f>RTD("rtdtrading.rtdserver",, "IFIX_B_0", "AJA")</f>
        <v>3571</v>
      </c>
      <c r="BJ48">
        <f>RTD("rtdtrading.rtdserver",, "IFIX_B_0", "PRT")</f>
        <v>0</v>
      </c>
      <c r="BK48">
        <f>RTD("rtdtrading.rtdserver",, "IFIX_B_0", "QTE")</f>
        <v>0</v>
      </c>
      <c r="BL48">
        <f>RTD("rtdtrading.rtdserver",, "IFIX_B_0", "VPJ")</f>
        <v>255437590.28</v>
      </c>
      <c r="BM48">
        <f>RTD("rtdtrading.rtdserver",, "IFIX_B_0", "SEM")</f>
        <v>-5.3670563373196943E-2</v>
      </c>
      <c r="BN48">
        <f>RTD("rtdtrading.rtdserver",, "IFIX_B_0", "MES")</f>
        <v>-0.38947579566729124</v>
      </c>
      <c r="BO48">
        <f>RTD("rtdtrading.rtdserver",, "IFIX_B_0", "3M")</f>
        <v>2.6295621223646157</v>
      </c>
      <c r="BP48">
        <f>RTD("rtdtrading.rtdserver",, "IFIX_B_0", "6M")</f>
        <v>9.7551317352586349</v>
      </c>
      <c r="BQ48">
        <f>RTD("rtdtrading.rtdserver",, "IFIX_B_0", "12M")</f>
        <v>11.149244126945641</v>
      </c>
      <c r="BR48">
        <f>RTD("rtdtrading.rtdserver",, "IFIX_B_0", "ANO")</f>
        <v>14.734876198544411</v>
      </c>
      <c r="BS48">
        <f>RTD("rtdtrading.rtdserver",, "IFIX_B_0", "TRIM")</f>
        <v>-0.38947579566729124</v>
      </c>
      <c r="BT48">
        <f>RTD("rtdtrading.rtdserver",, "IFIX_B_0", "SEMES")</f>
        <v>2.6319188695005713</v>
      </c>
      <c r="BU48" t="str">
        <f>RTD("rtdtrading.rtdserver",, "IFIX_B_0", "VEN")</f>
        <v>01/01/9999</v>
      </c>
      <c r="BV48" t="str">
        <f>RTD("rtdtrading.rtdserver",, "IFIX_B_0", "VAL")</f>
        <v>31/12/9999</v>
      </c>
      <c r="BW48">
        <f>RTD("rtdtrading.rtdserver",, "IFIX_B_0", "CAB")</f>
        <v>0</v>
      </c>
      <c r="BX48" t="str">
        <f>RTD("rtdtrading.rtdserver",, "IFIX_B_0", "EST")</f>
        <v>Fechado</v>
      </c>
      <c r="BY48" t="str">
        <f>RTD("rtdtrading.rtdserver",, "IFIX_B_0", "BLACK")</f>
        <v>-</v>
      </c>
      <c r="BZ48" t="str">
        <f>RTD("rtdtrading.rtdserver",, "IFIX_B_0", "IMPVT")</f>
        <v>-</v>
      </c>
      <c r="CA48" t="str">
        <f>RTD("rtdtrading.rtdserver",, "IFIX_B_0", "DELTA")</f>
        <v>-</v>
      </c>
      <c r="CB48" t="str">
        <f>RTD("rtdtrading.rtdserver",, "IFIX_B_0", "GAMA")</f>
        <v>-</v>
      </c>
      <c r="CC48" t="str">
        <f>RTD("rtdtrading.rtdserver",, "IFIX_B_0", "THETA")</f>
        <v>-</v>
      </c>
      <c r="CD48" t="str">
        <f>RTD("rtdtrading.rtdserver",, "IFIX_B_0", "RHO")</f>
        <v>-</v>
      </c>
      <c r="CE48" t="str">
        <f>RTD("rtdtrading.rtdserver",, "IFIX_B_0", "VEGA")</f>
        <v>-</v>
      </c>
      <c r="CF48" t="str">
        <f>RTD("rtdtrading.rtdserver",, "IFIX_B_0", "VIA")</f>
        <v>-</v>
      </c>
      <c r="CG48" t="str">
        <f>RTD("rtdtrading.rtdserver",, "IFIX_B_0", "VIB")</f>
        <v>-</v>
      </c>
      <c r="CH48" t="str">
        <f>RTD("rtdtrading.rtdserver",, "IFIX_B_0", "DOBRAR")</f>
        <v>-</v>
      </c>
      <c r="CI48" t="str">
        <f>RTD("rtdtrading.rtdserver",, "IFIX_B_0", "VIVH")</f>
        <v>-</v>
      </c>
      <c r="CJ48" t="str">
        <f>RTD("rtdtrading.rtdserver",, "IFIX_B_0", "VINT")</f>
        <v>-</v>
      </c>
      <c r="CK48" t="str">
        <f>RTD("rtdtrading.rtdserver",, "IFIX_B_0", "VEXT")</f>
        <v>-</v>
      </c>
    </row>
    <row r="49" spans="2:89" x14ac:dyDescent="0.25">
      <c r="B49" t="s">
        <v>283</v>
      </c>
      <c r="C49" t="s">
        <v>284</v>
      </c>
      <c r="D49" t="s">
        <v>192</v>
      </c>
      <c r="E49" s="76">
        <v>784510115</v>
      </c>
      <c r="F49">
        <v>0.64300000000000002</v>
      </c>
      <c r="J49" s="3">
        <f>RTD("rtdtrading.rtdserver",, $B49&amp;"_B_0", J$4)</f>
        <v>17.52</v>
      </c>
      <c r="K49" s="3">
        <f>RTD("rtdtrading.rtdserver",, $B49&amp;"_B_0", K$4)</f>
        <v>17.45</v>
      </c>
      <c r="L49" s="3">
        <f>RTD("rtdtrading.rtdserver",, $B49&amp;"_B_0", L$4)</f>
        <v>0</v>
      </c>
      <c r="M49" s="3">
        <f t="shared" si="3"/>
        <v>17.45</v>
      </c>
      <c r="O49" s="33">
        <f t="shared" si="4"/>
        <v>911.51332796817121</v>
      </c>
      <c r="P49" s="10">
        <f t="shared" si="0"/>
        <v>-3.9954337899543724E-3</v>
      </c>
      <c r="Q49">
        <v>4.3999999999999999E-5</v>
      </c>
      <c r="R49" s="17">
        <f t="shared" si="5"/>
        <v>-3.9514337899543726E-3</v>
      </c>
      <c r="S49">
        <v>44</v>
      </c>
      <c r="T49" s="10" t="str">
        <f t="shared" si="6"/>
        <v>ELET3</v>
      </c>
      <c r="U49" s="10">
        <f t="shared" si="12"/>
        <v>-3.6247393811262843E-3</v>
      </c>
      <c r="V49" t="str">
        <f t="shared" si="7"/>
        <v/>
      </c>
      <c r="W49" s="10" t="str">
        <f t="shared" si="8"/>
        <v>DIRR3</v>
      </c>
      <c r="X49" s="10">
        <f t="shared" si="9"/>
        <v>-1.3345442176870542E-3</v>
      </c>
      <c r="Y49" s="33">
        <f t="shared" si="10"/>
        <v>911.51332796817121</v>
      </c>
      <c r="Z49" s="80">
        <f t="shared" si="11"/>
        <v>0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N49" t="str">
        <f>RTD("rtdtrading.rtdserver",, "WDOM24_F_0", "DAT")</f>
        <v>30/12/1899</v>
      </c>
      <c r="AO49" t="str">
        <f>RTD("rtdtrading.rtdserver",, "WDOM24_F_0", "HOR")</f>
        <v>00:00:00</v>
      </c>
      <c r="AP49">
        <f>RTD("rtdtrading.rtdserver",, "WDOM24_F_0", "ULT")</f>
        <v>0</v>
      </c>
      <c r="AQ49">
        <f>RTD("rtdtrading.rtdserver",, "WDOM24_F_0", "ABE")</f>
        <v>0</v>
      </c>
      <c r="AR49">
        <f>RTD("rtdtrading.rtdserver",, "WDOM24_F_0", "MAX")</f>
        <v>0</v>
      </c>
      <c r="AS49">
        <f>RTD("rtdtrading.rtdserver",, "WDOM24_F_0", "MIN")</f>
        <v>0</v>
      </c>
      <c r="AT49">
        <f>RTD("rtdtrading.rtdserver",, "WDOM24_F_0", "FEC")</f>
        <v>0</v>
      </c>
      <c r="AU49">
        <f>RTD("rtdtrading.rtdserver",, "WDOM24_F_0", "PEX")</f>
        <v>0</v>
      </c>
      <c r="AV49">
        <f>RTD("rtdtrading.rtdserver",, "WDOM24_F_0", "VAR")</f>
        <v>0</v>
      </c>
      <c r="AW49">
        <f>RTD("rtdtrading.rtdserver",, "WDOM24_F_0", "VARPTS")</f>
        <v>0</v>
      </c>
      <c r="AX49">
        <f>RTD("rtdtrading.rtdserver",, "WDOM24_F_0", "MED")</f>
        <v>0</v>
      </c>
      <c r="AY49" t="s">
        <v>253</v>
      </c>
      <c r="AZ49">
        <f>RTD("rtdtrading.rtdserver",, "WDOM24_F_0", "NEG")</f>
        <v>0</v>
      </c>
      <c r="BA49">
        <f>RTD("rtdtrading.rtdserver",, "WDOM24_F_0", "QUL")</f>
        <v>0</v>
      </c>
      <c r="BB49">
        <f>RTD("rtdtrading.rtdserver",, "WDOM24_F_0", "QTT")</f>
        <v>0</v>
      </c>
      <c r="BC49">
        <f>RTD("rtdtrading.rtdserver",, "WDOM24_F_0", "VOL")</f>
        <v>0</v>
      </c>
      <c r="BD49">
        <f>RTD("rtdtrading.rtdserver",, "WDOM24_F_0", "OCP")</f>
        <v>0</v>
      </c>
      <c r="BE49">
        <f>RTD("rtdtrading.rtdserver",, "WDOM24_F_0", "OVD")</f>
        <v>0</v>
      </c>
      <c r="BF49">
        <f>RTD("rtdtrading.rtdserver",, "WDOM24_F_0", "VOC")</f>
        <v>0</v>
      </c>
      <c r="BG49">
        <f>RTD("rtdtrading.rtdserver",, "WDOM24_F_0", "VOV")</f>
        <v>0</v>
      </c>
      <c r="BH49">
        <f>RTD("rtdtrading.rtdserver",, "WDOM24_F_0", "AJU")</f>
        <v>0</v>
      </c>
      <c r="BI49">
        <f>RTD("rtdtrading.rtdserver",, "WDOM24_F_0", "AJA")</f>
        <v>0</v>
      </c>
      <c r="BJ49">
        <f>RTD("rtdtrading.rtdserver",, "WDOM24_F_0", "PRT")</f>
        <v>0</v>
      </c>
      <c r="BK49">
        <f>RTD("rtdtrading.rtdserver",, "WDOM24_F_0", "QTE")</f>
        <v>0</v>
      </c>
      <c r="BL49">
        <f>RTD("rtdtrading.rtdserver",, "WDOM24_F_0", "VPJ")</f>
        <v>0</v>
      </c>
      <c r="BM49">
        <f>RTD("rtdtrading.rtdserver",, "WDOM24_F_0", "SEM")</f>
        <v>0</v>
      </c>
      <c r="BN49">
        <f>RTD("rtdtrading.rtdserver",, "WDOM24_F_0", "MES")</f>
        <v>0</v>
      </c>
      <c r="BO49">
        <f>RTD("rtdtrading.rtdserver",, "WDOM24_F_0", "3M")</f>
        <v>0</v>
      </c>
      <c r="BP49">
        <f>RTD("rtdtrading.rtdserver",, "WDOM24_F_0", "6M")</f>
        <v>0</v>
      </c>
      <c r="BQ49">
        <f>RTD("rtdtrading.rtdserver",, "WDOM24_F_0", "12M")</f>
        <v>0</v>
      </c>
      <c r="BR49">
        <f>RTD("rtdtrading.rtdserver",, "WDOM24_F_0", "ANO")</f>
        <v>0</v>
      </c>
      <c r="BS49">
        <f>RTD("rtdtrading.rtdserver",, "WDOM24_F_0", "TRIM")</f>
        <v>0</v>
      </c>
      <c r="BT49">
        <f>RTD("rtdtrading.rtdserver",, "WDOM24_F_0", "SEMES")</f>
        <v>0</v>
      </c>
      <c r="BU49" t="str">
        <f>RTD("rtdtrading.rtdserver",, "WDOM24_F_0", "VEN")</f>
        <v>29/12/2024</v>
      </c>
      <c r="BV49" t="str">
        <f>RTD("rtdtrading.rtdserver",, "WDOM24_F_0", "VAL")</f>
        <v>29/12/2024</v>
      </c>
      <c r="BW49">
        <f>RTD("rtdtrading.rtdserver",, "WDOM24_F_0", "CAB")</f>
        <v>0</v>
      </c>
      <c r="BX49" t="str">
        <f>RTD("rtdtrading.rtdserver",, "WDOM24_F_0", "EST")</f>
        <v>NONE</v>
      </c>
      <c r="BY49" t="str">
        <f>RTD("rtdtrading.rtdserver",, "WDOM24_F_0", "BLACK")</f>
        <v>-</v>
      </c>
      <c r="BZ49" t="str">
        <f>RTD("rtdtrading.rtdserver",, "WDOM24_F_0", "IMPVT")</f>
        <v>-</v>
      </c>
      <c r="CA49" t="str">
        <f>RTD("rtdtrading.rtdserver",, "WDOM24_F_0", "DELTA")</f>
        <v>-</v>
      </c>
      <c r="CB49" t="str">
        <f>RTD("rtdtrading.rtdserver",, "WDOM24_F_0", "GAMA")</f>
        <v>-</v>
      </c>
      <c r="CC49" t="str">
        <f>RTD("rtdtrading.rtdserver",, "WDOM24_F_0", "THETA")</f>
        <v>-</v>
      </c>
      <c r="CD49" t="str">
        <f>RTD("rtdtrading.rtdserver",, "WDOM24_F_0", "RHO")</f>
        <v>-</v>
      </c>
      <c r="CE49" t="str">
        <f>RTD("rtdtrading.rtdserver",, "WDOM24_F_0", "VEGA")</f>
        <v>-</v>
      </c>
      <c r="CF49" t="str">
        <f>RTD("rtdtrading.rtdserver",, "WDOM24_F_0", "VIA")</f>
        <v>-</v>
      </c>
      <c r="CG49" t="str">
        <f>RTD("rtdtrading.rtdserver",, "WDOM24_F_0", "VIB")</f>
        <v>-</v>
      </c>
      <c r="CH49" t="str">
        <f>RTD("rtdtrading.rtdserver",, "WDOM24_F_0", "DOBRAR")</f>
        <v>-</v>
      </c>
      <c r="CI49" t="str">
        <f>RTD("rtdtrading.rtdserver",, "WDOM24_F_0", "VIVH")</f>
        <v>-</v>
      </c>
      <c r="CJ49" t="str">
        <f>RTD("rtdtrading.rtdserver",, "WDOM24_F_0", "VINT")</f>
        <v>-</v>
      </c>
      <c r="CK49" t="str">
        <f>RTD("rtdtrading.rtdserver",, "WDOM24_F_0", "VEXT")</f>
        <v>-</v>
      </c>
    </row>
    <row r="50" spans="2:89" x14ac:dyDescent="0.25">
      <c r="B50" s="2" t="s">
        <v>207</v>
      </c>
      <c r="C50" t="s">
        <v>287</v>
      </c>
      <c r="D50" t="s">
        <v>142</v>
      </c>
      <c r="E50" s="76">
        <v>977042684</v>
      </c>
      <c r="F50">
        <v>1.647</v>
      </c>
      <c r="J50" s="3">
        <f>RTD("rtdtrading.rtdserver",, $B50&amp;"_B_0", J$4)</f>
        <v>36.14</v>
      </c>
      <c r="K50" s="3">
        <f>RTD("rtdtrading.rtdserver",, $B50&amp;"_B_0", K$4)</f>
        <v>35.870000000000005</v>
      </c>
      <c r="L50" s="3">
        <f>RTD("rtdtrading.rtdserver",, $B50&amp;"_B_0", L$4)</f>
        <v>0</v>
      </c>
      <c r="M50" s="3">
        <f t="shared" si="3"/>
        <v>35.870000000000005</v>
      </c>
      <c r="O50" s="33">
        <f t="shared" si="4"/>
        <v>2333.5330608268905</v>
      </c>
      <c r="P50" s="10">
        <f t="shared" si="0"/>
        <v>-7.4709463198671111E-3</v>
      </c>
      <c r="Q50">
        <v>4.5000000000000003E-5</v>
      </c>
      <c r="R50" s="17">
        <f t="shared" si="5"/>
        <v>-7.4259463198671112E-3</v>
      </c>
      <c r="S50">
        <v>45</v>
      </c>
      <c r="T50" s="10" t="str">
        <f t="shared" si="6"/>
        <v>EQTL3</v>
      </c>
      <c r="U50" s="10">
        <f t="shared" si="12"/>
        <v>-3.6403540548176124E-3</v>
      </c>
      <c r="V50" t="str">
        <f t="shared" si="7"/>
        <v/>
      </c>
      <c r="W50" s="10" t="str">
        <f t="shared" si="8"/>
        <v>PSSA3</v>
      </c>
      <c r="X50" s="10">
        <f t="shared" si="9"/>
        <v>-1.2256224555389817E-3</v>
      </c>
      <c r="Y50" s="33">
        <f t="shared" si="10"/>
        <v>2333.5330608268905</v>
      </c>
      <c r="Z50" s="80">
        <f t="shared" si="11"/>
        <v>0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N50" t="str">
        <f>RTD("rtdtrading.rtdserver",, "WDON24_F_0", "DAT")</f>
        <v>30/12/1899</v>
      </c>
      <c r="AO50" t="str">
        <f>RTD("rtdtrading.rtdserver",, "WDON24_F_0", "HOR")</f>
        <v>00:00:00</v>
      </c>
      <c r="AP50">
        <f>RTD("rtdtrading.rtdserver",, "WDON24_F_0", "ULT")</f>
        <v>0</v>
      </c>
      <c r="AQ50">
        <f>RTD("rtdtrading.rtdserver",, "WDON24_F_0", "ABE")</f>
        <v>0</v>
      </c>
      <c r="AR50">
        <f>RTD("rtdtrading.rtdserver",, "WDON24_F_0", "MAX")</f>
        <v>0</v>
      </c>
      <c r="AS50">
        <f>RTD("rtdtrading.rtdserver",, "WDON24_F_0", "MIN")</f>
        <v>0</v>
      </c>
      <c r="AT50">
        <f>RTD("rtdtrading.rtdserver",, "WDON24_F_0", "FEC")</f>
        <v>0</v>
      </c>
      <c r="AU50">
        <f>RTD("rtdtrading.rtdserver",, "WDON24_F_0", "PEX")</f>
        <v>0</v>
      </c>
      <c r="AV50">
        <f>RTD("rtdtrading.rtdserver",, "WDON24_F_0", "VAR")</f>
        <v>0</v>
      </c>
      <c r="AW50">
        <f>RTD("rtdtrading.rtdserver",, "WDON24_F_0", "VARPTS")</f>
        <v>0</v>
      </c>
      <c r="AX50">
        <f>RTD("rtdtrading.rtdserver",, "WDON24_F_0", "MED")</f>
        <v>0</v>
      </c>
      <c r="AY50" t="s">
        <v>253</v>
      </c>
      <c r="AZ50">
        <f>RTD("rtdtrading.rtdserver",, "WDON24_F_0", "NEG")</f>
        <v>0</v>
      </c>
      <c r="BA50">
        <f>RTD("rtdtrading.rtdserver",, "WDON24_F_0", "QUL")</f>
        <v>0</v>
      </c>
      <c r="BB50">
        <f>RTD("rtdtrading.rtdserver",, "WDON24_F_0", "QTT")</f>
        <v>0</v>
      </c>
      <c r="BC50">
        <f>RTD("rtdtrading.rtdserver",, "WDON24_F_0", "VOL")</f>
        <v>0</v>
      </c>
      <c r="BD50">
        <f>RTD("rtdtrading.rtdserver",, "WDON24_F_0", "OCP")</f>
        <v>0</v>
      </c>
      <c r="BE50">
        <f>RTD("rtdtrading.rtdserver",, "WDON24_F_0", "OVD")</f>
        <v>0</v>
      </c>
      <c r="BF50">
        <f>RTD("rtdtrading.rtdserver",, "WDON24_F_0", "VOC")</f>
        <v>0</v>
      </c>
      <c r="BG50">
        <f>RTD("rtdtrading.rtdserver",, "WDON24_F_0", "VOV")</f>
        <v>0</v>
      </c>
      <c r="BH50">
        <f>RTD("rtdtrading.rtdserver",, "WDON24_F_0", "AJU")</f>
        <v>0</v>
      </c>
      <c r="BI50">
        <f>RTD("rtdtrading.rtdserver",, "WDON24_F_0", "AJA")</f>
        <v>0</v>
      </c>
      <c r="BJ50">
        <f>RTD("rtdtrading.rtdserver",, "WDON24_F_0", "PRT")</f>
        <v>0</v>
      </c>
      <c r="BK50">
        <f>RTD("rtdtrading.rtdserver",, "WDON24_F_0", "QTE")</f>
        <v>0</v>
      </c>
      <c r="BL50">
        <f>RTD("rtdtrading.rtdserver",, "WDON24_F_0", "VPJ")</f>
        <v>0</v>
      </c>
      <c r="BM50">
        <f>RTD("rtdtrading.rtdserver",, "WDON24_F_0", "SEM")</f>
        <v>0</v>
      </c>
      <c r="BN50">
        <f>RTD("rtdtrading.rtdserver",, "WDON24_F_0", "MES")</f>
        <v>0</v>
      </c>
      <c r="BO50">
        <f>RTD("rtdtrading.rtdserver",, "WDON24_F_0", "3M")</f>
        <v>0</v>
      </c>
      <c r="BP50">
        <f>RTD("rtdtrading.rtdserver",, "WDON24_F_0", "6M")</f>
        <v>0</v>
      </c>
      <c r="BQ50">
        <f>RTD("rtdtrading.rtdserver",, "WDON24_F_0", "12M")</f>
        <v>0</v>
      </c>
      <c r="BR50">
        <f>RTD("rtdtrading.rtdserver",, "WDON24_F_0", "ANO")</f>
        <v>0</v>
      </c>
      <c r="BS50">
        <f>RTD("rtdtrading.rtdserver",, "WDON24_F_0", "TRIM")</f>
        <v>0</v>
      </c>
      <c r="BT50">
        <f>RTD("rtdtrading.rtdserver",, "WDON24_F_0", "SEMES")</f>
        <v>0</v>
      </c>
      <c r="BU50" t="str">
        <f>RTD("rtdtrading.rtdserver",, "WDON24_F_0", "VEN")</f>
        <v>29/12/2024</v>
      </c>
      <c r="BV50" t="str">
        <f>RTD("rtdtrading.rtdserver",, "WDON24_F_0", "VAL")</f>
        <v>29/12/2024</v>
      </c>
      <c r="BW50">
        <f>RTD("rtdtrading.rtdserver",, "WDON24_F_0", "CAB")</f>
        <v>0</v>
      </c>
      <c r="BX50" t="str">
        <f>RTD("rtdtrading.rtdserver",, "WDON24_F_0", "EST")</f>
        <v>NONE</v>
      </c>
      <c r="BY50" t="str">
        <f>RTD("rtdtrading.rtdserver",, "WDON24_F_0", "BLACK")</f>
        <v>-</v>
      </c>
      <c r="BZ50" t="str">
        <f>RTD("rtdtrading.rtdserver",, "WDON24_F_0", "IMPVT")</f>
        <v>-</v>
      </c>
      <c r="CA50" t="str">
        <f>RTD("rtdtrading.rtdserver",, "WDON24_F_0", "DELTA")</f>
        <v>-</v>
      </c>
      <c r="CB50" t="str">
        <f>RTD("rtdtrading.rtdserver",, "WDON24_F_0", "GAMA")</f>
        <v>-</v>
      </c>
      <c r="CC50" t="str">
        <f>RTD("rtdtrading.rtdserver",, "WDON24_F_0", "THETA")</f>
        <v>-</v>
      </c>
      <c r="CD50" t="str">
        <f>RTD("rtdtrading.rtdserver",, "WDON24_F_0", "RHO")</f>
        <v>-</v>
      </c>
      <c r="CE50" t="str">
        <f>RTD("rtdtrading.rtdserver",, "WDON24_F_0", "VEGA")</f>
        <v>-</v>
      </c>
      <c r="CF50" t="str">
        <f>RTD("rtdtrading.rtdserver",, "WDON24_F_0", "VIA")</f>
        <v>-</v>
      </c>
      <c r="CG50" t="str">
        <f>RTD("rtdtrading.rtdserver",, "WDON24_F_0", "VIB")</f>
        <v>-</v>
      </c>
      <c r="CH50" t="str">
        <f>RTD("rtdtrading.rtdserver",, "WDON24_F_0", "DOBRAR")</f>
        <v>-</v>
      </c>
      <c r="CI50" t="str">
        <f>RTD("rtdtrading.rtdserver",, "WDON24_F_0", "VIVH")</f>
        <v>-</v>
      </c>
      <c r="CJ50" t="str">
        <f>RTD("rtdtrading.rtdserver",, "WDON24_F_0", "VINT")</f>
        <v>-</v>
      </c>
      <c r="CK50" t="str">
        <f>RTD("rtdtrading.rtdserver",, "WDON24_F_0", "VEXT")</f>
        <v>-</v>
      </c>
    </row>
    <row r="51" spans="2:89" x14ac:dyDescent="0.25">
      <c r="B51" t="s">
        <v>241</v>
      </c>
      <c r="C51" t="s">
        <v>289</v>
      </c>
      <c r="D51" t="s">
        <v>142</v>
      </c>
      <c r="E51" s="76">
        <v>1000358705</v>
      </c>
      <c r="F51">
        <v>0.67300000000000004</v>
      </c>
      <c r="J51" s="3">
        <f>RTD("rtdtrading.rtdserver",, $B51&amp;"_B_0", J$4)</f>
        <v>14.14</v>
      </c>
      <c r="K51" s="3">
        <f>RTD("rtdtrading.rtdserver",, $B51&amp;"_B_0", K$4)</f>
        <v>14.32</v>
      </c>
      <c r="L51" s="3">
        <f>RTD("rtdtrading.rtdserver",, $B51&amp;"_B_0", L$4)</f>
        <v>0</v>
      </c>
      <c r="M51" s="3">
        <f t="shared" si="3"/>
        <v>14.32</v>
      </c>
      <c r="O51" s="33">
        <f t="shared" si="4"/>
        <v>953.82306035719535</v>
      </c>
      <c r="P51" s="10">
        <f t="shared" si="0"/>
        <v>1.2729844413012614E-2</v>
      </c>
      <c r="Q51">
        <v>4.6E-5</v>
      </c>
      <c r="R51" s="17">
        <f t="shared" si="5"/>
        <v>1.2775844413012613E-2</v>
      </c>
      <c r="S51">
        <v>46</v>
      </c>
      <c r="T51" s="10" t="str">
        <f t="shared" si="6"/>
        <v>TOTS3</v>
      </c>
      <c r="U51" s="10">
        <f t="shared" si="12"/>
        <v>-3.8979626168224222E-3</v>
      </c>
      <c r="V51" t="str">
        <f t="shared" si="7"/>
        <v/>
      </c>
      <c r="W51" s="10" t="str">
        <f t="shared" si="8"/>
        <v>GOAU4</v>
      </c>
      <c r="X51" s="10">
        <f t="shared" si="9"/>
        <v>-9.3960975609756183E-4</v>
      </c>
      <c r="Y51" s="33">
        <f t="shared" si="10"/>
        <v>953.82306035719535</v>
      </c>
      <c r="Z51" s="80">
        <f t="shared" si="11"/>
        <v>0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N51" t="str">
        <f>RTD("rtdtrading.rtdserver",, "WDOJ24_F_0", "DAT")</f>
        <v>30/12/1899</v>
      </c>
      <c r="AO51" t="str">
        <f>RTD("rtdtrading.rtdserver",, "WDOJ24_F_0", "HOR")</f>
        <v>00:00:00</v>
      </c>
      <c r="AP51">
        <f>RTD("rtdtrading.rtdserver",, "WDOJ24_F_0", "ULT")</f>
        <v>0</v>
      </c>
      <c r="AQ51">
        <f>RTD("rtdtrading.rtdserver",, "WDOJ24_F_0", "ABE")</f>
        <v>0</v>
      </c>
      <c r="AR51">
        <f>RTD("rtdtrading.rtdserver",, "WDOJ24_F_0", "MAX")</f>
        <v>0</v>
      </c>
      <c r="AS51">
        <f>RTD("rtdtrading.rtdserver",, "WDOJ24_F_0", "MIN")</f>
        <v>0</v>
      </c>
      <c r="AT51">
        <f>RTD("rtdtrading.rtdserver",, "WDOJ24_F_0", "FEC")</f>
        <v>0</v>
      </c>
      <c r="AU51">
        <f>RTD("rtdtrading.rtdserver",, "WDOJ24_F_0", "PEX")</f>
        <v>0</v>
      </c>
      <c r="AV51">
        <f>RTD("rtdtrading.rtdserver",, "WDOJ24_F_0", "VAR")</f>
        <v>0</v>
      </c>
      <c r="AW51">
        <f>RTD("rtdtrading.rtdserver",, "WDOJ24_F_0", "VARPTS")</f>
        <v>0</v>
      </c>
      <c r="AX51">
        <f>RTD("rtdtrading.rtdserver",, "WDOJ24_F_0", "MED")</f>
        <v>0</v>
      </c>
      <c r="AY51" t="s">
        <v>253</v>
      </c>
      <c r="AZ51">
        <f>RTD("rtdtrading.rtdserver",, "WDOJ24_F_0", "NEG")</f>
        <v>0</v>
      </c>
      <c r="BA51">
        <f>RTD("rtdtrading.rtdserver",, "WDOJ24_F_0", "QUL")</f>
        <v>0</v>
      </c>
      <c r="BB51">
        <f>RTD("rtdtrading.rtdserver",, "WDOJ24_F_0", "QTT")</f>
        <v>0</v>
      </c>
      <c r="BC51">
        <f>RTD("rtdtrading.rtdserver",, "WDOJ24_F_0", "VOL")</f>
        <v>0</v>
      </c>
      <c r="BD51">
        <f>RTD("rtdtrading.rtdserver",, "WDOJ24_F_0", "OCP")</f>
        <v>0</v>
      </c>
      <c r="BE51">
        <f>RTD("rtdtrading.rtdserver",, "WDOJ24_F_0", "OVD")</f>
        <v>0</v>
      </c>
      <c r="BF51">
        <f>RTD("rtdtrading.rtdserver",, "WDOJ24_F_0", "VOC")</f>
        <v>0</v>
      </c>
      <c r="BG51">
        <f>RTD("rtdtrading.rtdserver",, "WDOJ24_F_0", "VOV")</f>
        <v>0</v>
      </c>
      <c r="BH51">
        <f>RTD("rtdtrading.rtdserver",, "WDOJ24_F_0", "AJU")</f>
        <v>0</v>
      </c>
      <c r="BI51">
        <f>RTD("rtdtrading.rtdserver",, "WDOJ24_F_0", "AJA")</f>
        <v>0</v>
      </c>
      <c r="BJ51">
        <f>RTD("rtdtrading.rtdserver",, "WDOJ24_F_0", "PRT")</f>
        <v>0</v>
      </c>
      <c r="BK51">
        <f>RTD("rtdtrading.rtdserver",, "WDOJ24_F_0", "QTE")</f>
        <v>0</v>
      </c>
      <c r="BL51">
        <f>RTD("rtdtrading.rtdserver",, "WDOJ24_F_0", "VPJ")</f>
        <v>0</v>
      </c>
      <c r="BM51">
        <f>RTD("rtdtrading.rtdserver",, "WDOJ24_F_0", "SEM")</f>
        <v>0</v>
      </c>
      <c r="BN51">
        <f>RTD("rtdtrading.rtdserver",, "WDOJ24_F_0", "MES")</f>
        <v>0</v>
      </c>
      <c r="BO51">
        <f>RTD("rtdtrading.rtdserver",, "WDOJ24_F_0", "3M")</f>
        <v>0</v>
      </c>
      <c r="BP51">
        <f>RTD("rtdtrading.rtdserver",, "WDOJ24_F_0", "6M")</f>
        <v>0</v>
      </c>
      <c r="BQ51">
        <f>RTD("rtdtrading.rtdserver",, "WDOJ24_F_0", "12M")</f>
        <v>0</v>
      </c>
      <c r="BR51">
        <f>RTD("rtdtrading.rtdserver",, "WDOJ24_F_0", "ANO")</f>
        <v>0</v>
      </c>
      <c r="BS51">
        <f>RTD("rtdtrading.rtdserver",, "WDOJ24_F_0", "TRIM")</f>
        <v>0</v>
      </c>
      <c r="BT51">
        <f>RTD("rtdtrading.rtdserver",, "WDOJ24_F_0", "SEMES")</f>
        <v>0</v>
      </c>
      <c r="BU51" t="str">
        <f>RTD("rtdtrading.rtdserver",, "WDOJ24_F_0", "VEN")</f>
        <v>29/12/2024</v>
      </c>
      <c r="BV51" t="str">
        <f>RTD("rtdtrading.rtdserver",, "WDOJ24_F_0", "VAL")</f>
        <v>29/12/2024</v>
      </c>
      <c r="BW51">
        <f>RTD("rtdtrading.rtdserver",, "WDOJ24_F_0", "CAB")</f>
        <v>0</v>
      </c>
      <c r="BX51" t="str">
        <f>RTD("rtdtrading.rtdserver",, "WDOJ24_F_0", "EST")</f>
        <v>NONE</v>
      </c>
      <c r="BY51" t="str">
        <f>RTD("rtdtrading.rtdserver",, "WDOJ24_F_0", "BLACK")</f>
        <v>-</v>
      </c>
      <c r="BZ51" t="str">
        <f>RTD("rtdtrading.rtdserver",, "WDOJ24_F_0", "IMPVT")</f>
        <v>-</v>
      </c>
      <c r="CA51" t="str">
        <f>RTD("rtdtrading.rtdserver",, "WDOJ24_F_0", "DELTA")</f>
        <v>-</v>
      </c>
      <c r="CB51" t="str">
        <f>RTD("rtdtrading.rtdserver",, "WDOJ24_F_0", "GAMA")</f>
        <v>-</v>
      </c>
      <c r="CC51" t="str">
        <f>RTD("rtdtrading.rtdserver",, "WDOJ24_F_0", "THETA")</f>
        <v>-</v>
      </c>
      <c r="CD51" t="str">
        <f>RTD("rtdtrading.rtdserver",, "WDOJ24_F_0", "RHO")</f>
        <v>-</v>
      </c>
      <c r="CE51" t="str">
        <f>RTD("rtdtrading.rtdserver",, "WDOJ24_F_0", "VEGA")</f>
        <v>-</v>
      </c>
      <c r="CF51" t="str">
        <f>RTD("rtdtrading.rtdserver",, "WDOJ24_F_0", "VIA")</f>
        <v>-</v>
      </c>
      <c r="CG51" t="str">
        <f>RTD("rtdtrading.rtdserver",, "WDOJ24_F_0", "VIB")</f>
        <v>-</v>
      </c>
      <c r="CH51" t="str">
        <f>RTD("rtdtrading.rtdserver",, "WDOJ24_F_0", "DOBRAR")</f>
        <v>-</v>
      </c>
      <c r="CI51" t="str">
        <f>RTD("rtdtrading.rtdserver",, "WDOJ24_F_0", "VIVH")</f>
        <v>-</v>
      </c>
      <c r="CJ51" t="str">
        <f>RTD("rtdtrading.rtdserver",, "WDOJ24_F_0", "VINT")</f>
        <v>-</v>
      </c>
      <c r="CK51" t="str">
        <f>RTD("rtdtrading.rtdserver",, "WDOJ24_F_0", "VEXT")</f>
        <v>-</v>
      </c>
    </row>
    <row r="52" spans="2:89" x14ac:dyDescent="0.25">
      <c r="B52" t="s">
        <v>245</v>
      </c>
      <c r="C52" t="s">
        <v>291</v>
      </c>
      <c r="D52" t="s">
        <v>142</v>
      </c>
      <c r="E52" s="76">
        <v>355414674</v>
      </c>
      <c r="F52">
        <v>0.14699999999999999</v>
      </c>
      <c r="J52" s="3">
        <f>RTD("rtdtrading.rtdserver",, $B52&amp;"_B_0", J$4)</f>
        <v>8.6</v>
      </c>
      <c r="K52" s="3">
        <f>RTD("rtdtrading.rtdserver",, $B52&amp;"_B_0", K$4)</f>
        <v>8.7800000000000011</v>
      </c>
      <c r="L52" s="3">
        <f>RTD("rtdtrading.rtdserver",, $B52&amp;"_B_0", L$4)</f>
        <v>0</v>
      </c>
      <c r="M52" s="3">
        <f t="shared" si="3"/>
        <v>8.7800000000000011</v>
      </c>
      <c r="O52" s="33">
        <f t="shared" si="4"/>
        <v>207.77769059816555</v>
      </c>
      <c r="P52" s="10">
        <f t="shared" si="0"/>
        <v>2.093023255813975E-2</v>
      </c>
      <c r="Q52">
        <v>4.6999999999999997E-5</v>
      </c>
      <c r="R52" s="17">
        <f t="shared" si="5"/>
        <v>2.0977232558139748E-2</v>
      </c>
      <c r="S52">
        <v>47</v>
      </c>
      <c r="T52" s="10" t="str">
        <f t="shared" si="6"/>
        <v>KLBN11</v>
      </c>
      <c r="U52" s="10">
        <f t="shared" si="12"/>
        <v>-3.9514337899543726E-3</v>
      </c>
      <c r="V52" t="str">
        <f t="shared" si="7"/>
        <v/>
      </c>
      <c r="W52" s="10" t="str">
        <f t="shared" si="8"/>
        <v>CXSE3</v>
      </c>
      <c r="X52" s="10">
        <f t="shared" si="9"/>
        <v>-6.556908115358123E-4</v>
      </c>
      <c r="Y52" s="33">
        <f t="shared" si="10"/>
        <v>207.77769059816555</v>
      </c>
      <c r="Z52" s="80">
        <f t="shared" si="11"/>
        <v>0</v>
      </c>
      <c r="AN52" t="str">
        <f>RTD("rtdtrading.rtdserver",, "WDOH24_F_0", "DAT")</f>
        <v>30/12/1899</v>
      </c>
      <c r="AO52" t="str">
        <f>RTD("rtdtrading.rtdserver",, "WDOH24_F_0", "HOR")</f>
        <v>00:00:00</v>
      </c>
      <c r="AP52">
        <f>RTD("rtdtrading.rtdserver",, "WDOH24_F_0", "ULT")</f>
        <v>0</v>
      </c>
      <c r="AQ52">
        <f>RTD("rtdtrading.rtdserver",, "WDOH24_F_0", "ABE")</f>
        <v>0</v>
      </c>
      <c r="AR52">
        <f>RTD("rtdtrading.rtdserver",, "WDOH24_F_0", "MAX")</f>
        <v>0</v>
      </c>
      <c r="AS52">
        <f>RTD("rtdtrading.rtdserver",, "WDOH24_F_0", "MIN")</f>
        <v>0</v>
      </c>
      <c r="AT52">
        <f>RTD("rtdtrading.rtdserver",, "WDOH24_F_0", "FEC")</f>
        <v>0</v>
      </c>
      <c r="AU52">
        <f>RTD("rtdtrading.rtdserver",, "WDOH24_F_0", "PEX")</f>
        <v>0</v>
      </c>
      <c r="AV52">
        <f>RTD("rtdtrading.rtdserver",, "WDOH24_F_0", "VAR")</f>
        <v>0</v>
      </c>
      <c r="AW52">
        <f>RTD("rtdtrading.rtdserver",, "WDOH24_F_0", "VARPTS")</f>
        <v>0</v>
      </c>
      <c r="AX52">
        <f>RTD("rtdtrading.rtdserver",, "WDOH24_F_0", "MED")</f>
        <v>0</v>
      </c>
      <c r="AY52" t="s">
        <v>253</v>
      </c>
      <c r="AZ52">
        <f>RTD("rtdtrading.rtdserver",, "WDOH24_F_0", "NEG")</f>
        <v>0</v>
      </c>
      <c r="BA52">
        <f>RTD("rtdtrading.rtdserver",, "WDOH24_F_0", "QUL")</f>
        <v>0</v>
      </c>
      <c r="BB52">
        <f>RTD("rtdtrading.rtdserver",, "WDOH24_F_0", "QTT")</f>
        <v>0</v>
      </c>
      <c r="BC52">
        <f>RTD("rtdtrading.rtdserver",, "WDOH24_F_0", "VOL")</f>
        <v>0</v>
      </c>
      <c r="BD52">
        <f>RTD("rtdtrading.rtdserver",, "WDOH24_F_0", "OCP")</f>
        <v>0</v>
      </c>
      <c r="BE52">
        <f>RTD("rtdtrading.rtdserver",, "WDOH24_F_0", "OVD")</f>
        <v>0</v>
      </c>
      <c r="BF52">
        <f>RTD("rtdtrading.rtdserver",, "WDOH24_F_0", "VOC")</f>
        <v>0</v>
      </c>
      <c r="BG52">
        <f>RTD("rtdtrading.rtdserver",, "WDOH24_F_0", "VOV")</f>
        <v>0</v>
      </c>
      <c r="BH52">
        <f>RTD("rtdtrading.rtdserver",, "WDOH24_F_0", "AJU")</f>
        <v>0</v>
      </c>
      <c r="BI52">
        <f>RTD("rtdtrading.rtdserver",, "WDOH24_F_0", "AJA")</f>
        <v>0</v>
      </c>
      <c r="BJ52">
        <f>RTD("rtdtrading.rtdserver",, "WDOH24_F_0", "PRT")</f>
        <v>0</v>
      </c>
      <c r="BK52">
        <f>RTD("rtdtrading.rtdserver",, "WDOH24_F_0", "QTE")</f>
        <v>0</v>
      </c>
      <c r="BL52">
        <f>RTD("rtdtrading.rtdserver",, "WDOH24_F_0", "VPJ")</f>
        <v>0</v>
      </c>
      <c r="BM52">
        <f>RTD("rtdtrading.rtdserver",, "WDOH24_F_0", "SEM")</f>
        <v>0</v>
      </c>
      <c r="BN52">
        <f>RTD("rtdtrading.rtdserver",, "WDOH24_F_0", "MES")</f>
        <v>0</v>
      </c>
      <c r="BO52">
        <f>RTD("rtdtrading.rtdserver",, "WDOH24_F_0", "3M")</f>
        <v>0</v>
      </c>
      <c r="BP52">
        <f>RTD("rtdtrading.rtdserver",, "WDOH24_F_0", "6M")</f>
        <v>0</v>
      </c>
      <c r="BQ52">
        <f>RTD("rtdtrading.rtdserver",, "WDOH24_F_0", "12M")</f>
        <v>0</v>
      </c>
      <c r="BR52">
        <f>RTD("rtdtrading.rtdserver",, "WDOH24_F_0", "ANO")</f>
        <v>0</v>
      </c>
      <c r="BS52">
        <f>RTD("rtdtrading.rtdserver",, "WDOH24_F_0", "TRIM")</f>
        <v>0</v>
      </c>
      <c r="BT52">
        <f>RTD("rtdtrading.rtdserver",, "WDOH24_F_0", "SEMES")</f>
        <v>0</v>
      </c>
      <c r="BU52" t="str">
        <f>RTD("rtdtrading.rtdserver",, "WDOH24_F_0", "VEN")</f>
        <v>01/03/2024</v>
      </c>
      <c r="BV52" t="str">
        <f>RTD("rtdtrading.rtdserver",, "WDOH24_F_0", "VAL")</f>
        <v>29/02/2024</v>
      </c>
      <c r="BW52">
        <f>RTD("rtdtrading.rtdserver",, "WDOH24_F_0", "CAB")</f>
        <v>0</v>
      </c>
      <c r="BX52" t="str">
        <f>RTD("rtdtrading.rtdserver",, "WDOH24_F_0", "EST")</f>
        <v>NONE</v>
      </c>
      <c r="BY52" t="str">
        <f>RTD("rtdtrading.rtdserver",, "WDOH24_F_0", "BLACK")</f>
        <v>-</v>
      </c>
      <c r="BZ52" t="str">
        <f>RTD("rtdtrading.rtdserver",, "WDOH24_F_0", "IMPVT")</f>
        <v>-</v>
      </c>
      <c r="CA52" t="str">
        <f>RTD("rtdtrading.rtdserver",, "WDOH24_F_0", "DELTA")</f>
        <v>-</v>
      </c>
      <c r="CB52" t="str">
        <f>RTD("rtdtrading.rtdserver",, "WDOH24_F_0", "GAMA")</f>
        <v>-</v>
      </c>
      <c r="CC52" t="str">
        <f>RTD("rtdtrading.rtdserver",, "WDOH24_F_0", "THETA")</f>
        <v>-</v>
      </c>
      <c r="CD52" t="str">
        <f>RTD("rtdtrading.rtdserver",, "WDOH24_F_0", "RHO")</f>
        <v>-</v>
      </c>
      <c r="CE52" t="str">
        <f>RTD("rtdtrading.rtdserver",, "WDOH24_F_0", "VEGA")</f>
        <v>-</v>
      </c>
      <c r="CF52" t="str">
        <f>RTD("rtdtrading.rtdserver",, "WDOH24_F_0", "VIA")</f>
        <v>-</v>
      </c>
      <c r="CG52" t="str">
        <f>RTD("rtdtrading.rtdserver",, "WDOH24_F_0", "VIB")</f>
        <v>-</v>
      </c>
      <c r="CH52" t="str">
        <f>RTD("rtdtrading.rtdserver",, "WDOH24_F_0", "DOBRAR")</f>
        <v>-</v>
      </c>
      <c r="CI52" t="str">
        <f>RTD("rtdtrading.rtdserver",, "WDOH24_F_0", "VIVH")</f>
        <v>-</v>
      </c>
      <c r="CJ52" t="str">
        <f>RTD("rtdtrading.rtdserver",, "WDOH24_F_0", "VINT")</f>
        <v>-</v>
      </c>
      <c r="CK52" t="str">
        <f>RTD("rtdtrading.rtdserver",, "WDOH24_F_0", "VEXT")</f>
        <v>-</v>
      </c>
    </row>
    <row r="53" spans="2:89" x14ac:dyDescent="0.25">
      <c r="B53" t="s">
        <v>293</v>
      </c>
      <c r="C53" t="s">
        <v>294</v>
      </c>
      <c r="D53" t="s">
        <v>423</v>
      </c>
      <c r="E53" s="76">
        <v>661573516</v>
      </c>
      <c r="F53">
        <v>0.26300000000000001</v>
      </c>
      <c r="J53" s="3">
        <f>RTD("rtdtrading.rtdserver",, $B53&amp;"_B_0", J$4)</f>
        <v>8.5400000000000009</v>
      </c>
      <c r="K53" s="3">
        <f>RTD("rtdtrading.rtdserver",, $B53&amp;"_B_0", K$4)</f>
        <v>8.4700000000000006</v>
      </c>
      <c r="L53" s="3">
        <f>RTD("rtdtrading.rtdserver",, $B53&amp;"_B_0", L$4)</f>
        <v>0</v>
      </c>
      <c r="M53" s="3">
        <f t="shared" si="3"/>
        <v>8.4700000000000006</v>
      </c>
      <c r="O53" s="33">
        <f t="shared" si="4"/>
        <v>373.10456783254892</v>
      </c>
      <c r="P53" s="10">
        <f t="shared" si="0"/>
        <v>-8.1967213114754189E-3</v>
      </c>
      <c r="Q53">
        <v>4.8000000000000001E-5</v>
      </c>
      <c r="R53" s="17">
        <f t="shared" si="5"/>
        <v>-8.1487213114754195E-3</v>
      </c>
      <c r="S53">
        <v>48</v>
      </c>
      <c r="T53" s="10" t="str">
        <f t="shared" si="6"/>
        <v>MULT3</v>
      </c>
      <c r="U53" s="10">
        <f t="shared" si="12"/>
        <v>-3.9985653775322623E-3</v>
      </c>
      <c r="V53" t="str">
        <f t="shared" si="7"/>
        <v/>
      </c>
      <c r="W53" s="10" t="str">
        <f t="shared" si="8"/>
        <v>PETR3</v>
      </c>
      <c r="X53" s="10">
        <f t="shared" si="9"/>
        <v>-5.649251785158632E-4</v>
      </c>
      <c r="Y53" s="33">
        <f t="shared" si="10"/>
        <v>373.10456783254892</v>
      </c>
      <c r="Z53" s="80">
        <f t="shared" si="11"/>
        <v>0</v>
      </c>
      <c r="AN53" t="str">
        <f>RTD("rtdtrading.rtdserver",, "WDOG24_F_0", "DAT")</f>
        <v>30/12/1899</v>
      </c>
      <c r="AO53" t="str">
        <f>RTD("rtdtrading.rtdserver",, "WDOG24_F_0", "HOR")</f>
        <v>00:00:00</v>
      </c>
      <c r="AP53">
        <f>RTD("rtdtrading.rtdserver",, "WDOG24_F_0", "ULT")</f>
        <v>0</v>
      </c>
      <c r="AQ53">
        <f>RTD("rtdtrading.rtdserver",, "WDOG24_F_0", "ABE")</f>
        <v>0</v>
      </c>
      <c r="AR53">
        <f>RTD("rtdtrading.rtdserver",, "WDOG24_F_0", "MAX")</f>
        <v>0</v>
      </c>
      <c r="AS53">
        <f>RTD("rtdtrading.rtdserver",, "WDOG24_F_0", "MIN")</f>
        <v>0</v>
      </c>
      <c r="AT53">
        <f>RTD("rtdtrading.rtdserver",, "WDOG24_F_0", "FEC")</f>
        <v>0</v>
      </c>
      <c r="AU53">
        <f>RTD("rtdtrading.rtdserver",, "WDOG24_F_0", "PEX")</f>
        <v>0</v>
      </c>
      <c r="AV53">
        <f>RTD("rtdtrading.rtdserver",, "WDOG24_F_0", "VAR")</f>
        <v>0</v>
      </c>
      <c r="AW53">
        <f>RTD("rtdtrading.rtdserver",, "WDOG24_F_0", "VARPTS")</f>
        <v>0</v>
      </c>
      <c r="AX53">
        <f>RTD("rtdtrading.rtdserver",, "WDOG24_F_0", "MED")</f>
        <v>0</v>
      </c>
      <c r="AY53" t="s">
        <v>253</v>
      </c>
      <c r="AZ53">
        <f>RTD("rtdtrading.rtdserver",, "WDOG24_F_0", "NEG")</f>
        <v>0</v>
      </c>
      <c r="BA53">
        <f>RTD("rtdtrading.rtdserver",, "WDOG24_F_0", "QUL")</f>
        <v>0</v>
      </c>
      <c r="BB53">
        <f>RTD("rtdtrading.rtdserver",, "WDOG24_F_0", "QTT")</f>
        <v>0</v>
      </c>
      <c r="BC53">
        <f>RTD("rtdtrading.rtdserver",, "WDOG24_F_0", "VOL")</f>
        <v>0</v>
      </c>
      <c r="BD53">
        <f>RTD("rtdtrading.rtdserver",, "WDOG24_F_0", "OCP")</f>
        <v>0</v>
      </c>
      <c r="BE53">
        <f>RTD("rtdtrading.rtdserver",, "WDOG24_F_0", "OVD")</f>
        <v>0</v>
      </c>
      <c r="BF53">
        <f>RTD("rtdtrading.rtdserver",, "WDOG24_F_0", "VOC")</f>
        <v>0</v>
      </c>
      <c r="BG53">
        <f>RTD("rtdtrading.rtdserver",, "WDOG24_F_0", "VOV")</f>
        <v>0</v>
      </c>
      <c r="BH53">
        <f>RTD("rtdtrading.rtdserver",, "WDOG24_F_0", "AJU")</f>
        <v>0</v>
      </c>
      <c r="BI53">
        <f>RTD("rtdtrading.rtdserver",, "WDOG24_F_0", "AJA")</f>
        <v>0</v>
      </c>
      <c r="BJ53">
        <f>RTD("rtdtrading.rtdserver",, "WDOG24_F_0", "PRT")</f>
        <v>0</v>
      </c>
      <c r="BK53">
        <f>RTD("rtdtrading.rtdserver",, "WDOG24_F_0", "QTE")</f>
        <v>0</v>
      </c>
      <c r="BL53">
        <f>RTD("rtdtrading.rtdserver",, "WDOG24_F_0", "VPJ")</f>
        <v>0</v>
      </c>
      <c r="BM53">
        <f>RTD("rtdtrading.rtdserver",, "WDOG24_F_0", "SEM")</f>
        <v>0</v>
      </c>
      <c r="BN53">
        <f>RTD("rtdtrading.rtdserver",, "WDOG24_F_0", "MES")</f>
        <v>0</v>
      </c>
      <c r="BO53">
        <f>RTD("rtdtrading.rtdserver",, "WDOG24_F_0", "3M")</f>
        <v>0</v>
      </c>
      <c r="BP53">
        <f>RTD("rtdtrading.rtdserver",, "WDOG24_F_0", "6M")</f>
        <v>0</v>
      </c>
      <c r="BQ53">
        <f>RTD("rtdtrading.rtdserver",, "WDOG24_F_0", "12M")</f>
        <v>0</v>
      </c>
      <c r="BR53">
        <f>RTD("rtdtrading.rtdserver",, "WDOG24_F_0", "ANO")</f>
        <v>0</v>
      </c>
      <c r="BS53">
        <f>RTD("rtdtrading.rtdserver",, "WDOG24_F_0", "TRIM")</f>
        <v>0</v>
      </c>
      <c r="BT53">
        <f>RTD("rtdtrading.rtdserver",, "WDOG24_F_0", "SEMES")</f>
        <v>0</v>
      </c>
      <c r="BU53" t="str">
        <f>RTD("rtdtrading.rtdserver",, "WDOG24_F_0", "VEN")</f>
        <v>01/02/2024</v>
      </c>
      <c r="BV53" t="str">
        <f>RTD("rtdtrading.rtdserver",, "WDOG24_F_0", "VAL")</f>
        <v>31/01/2024</v>
      </c>
      <c r="BW53">
        <f>RTD("rtdtrading.rtdserver",, "WDOG24_F_0", "CAB")</f>
        <v>0</v>
      </c>
      <c r="BX53" t="str">
        <f>RTD("rtdtrading.rtdserver",, "WDOG24_F_0", "EST")</f>
        <v>NONE</v>
      </c>
      <c r="BY53" t="str">
        <f>RTD("rtdtrading.rtdserver",, "WDOG24_F_0", "BLACK")</f>
        <v>-</v>
      </c>
      <c r="BZ53" t="str">
        <f>RTD("rtdtrading.rtdserver",, "WDOG24_F_0", "IMPVT")</f>
        <v>-</v>
      </c>
      <c r="CA53" t="str">
        <f>RTD("rtdtrading.rtdserver",, "WDOG24_F_0", "DELTA")</f>
        <v>-</v>
      </c>
      <c r="CB53" t="str">
        <f>RTD("rtdtrading.rtdserver",, "WDOG24_F_0", "GAMA")</f>
        <v>-</v>
      </c>
      <c r="CC53" t="str">
        <f>RTD("rtdtrading.rtdserver",, "WDOG24_F_0", "THETA")</f>
        <v>-</v>
      </c>
      <c r="CD53" t="str">
        <f>RTD("rtdtrading.rtdserver",, "WDOG24_F_0", "RHO")</f>
        <v>-</v>
      </c>
      <c r="CE53" t="str">
        <f>RTD("rtdtrading.rtdserver",, "WDOG24_F_0", "VEGA")</f>
        <v>-</v>
      </c>
      <c r="CF53" t="str">
        <f>RTD("rtdtrading.rtdserver",, "WDOG24_F_0", "VIA")</f>
        <v>-</v>
      </c>
      <c r="CG53" t="str">
        <f>RTD("rtdtrading.rtdserver",, "WDOG24_F_0", "VIB")</f>
        <v>-</v>
      </c>
      <c r="CH53" t="str">
        <f>RTD("rtdtrading.rtdserver",, "WDOG24_F_0", "DOBRAR")</f>
        <v>-</v>
      </c>
      <c r="CI53" t="str">
        <f>RTD("rtdtrading.rtdserver",, "WDOG24_F_0", "VIVH")</f>
        <v>-</v>
      </c>
      <c r="CJ53" t="str">
        <f>RTD("rtdtrading.rtdserver",, "WDOG24_F_0", "VINT")</f>
        <v>-</v>
      </c>
      <c r="CK53" t="str">
        <f>RTD("rtdtrading.rtdserver",, "WDOG24_F_0", "VEXT")</f>
        <v>-</v>
      </c>
    </row>
    <row r="54" spans="2:89" x14ac:dyDescent="0.25">
      <c r="B54" t="s">
        <v>464</v>
      </c>
      <c r="C54" t="s">
        <v>297</v>
      </c>
      <c r="D54" t="s">
        <v>142</v>
      </c>
      <c r="E54" s="76">
        <v>708146298</v>
      </c>
      <c r="F54">
        <v>0.50900000000000001</v>
      </c>
      <c r="J54" s="3">
        <f>RTD("rtdtrading.rtdserver",, $B54&amp;"_B_0", J$4)</f>
        <v>15.89</v>
      </c>
      <c r="K54" s="3">
        <f>RTD("rtdtrading.rtdserver",, $B54&amp;"_B_0", K$4)</f>
        <v>15.3</v>
      </c>
      <c r="L54" s="3">
        <f>RTD("rtdtrading.rtdserver",, $B54&amp;"_B_0", L$4)</f>
        <v>0</v>
      </c>
      <c r="M54" s="3">
        <f t="shared" si="3"/>
        <v>15.3</v>
      </c>
      <c r="O54" s="33">
        <f t="shared" si="4"/>
        <v>721.41216982990954</v>
      </c>
      <c r="P54" s="10">
        <f>IFERROR(M54/J54-1,0)</f>
        <v>-3.7130270610446825E-2</v>
      </c>
      <c r="Q54">
        <v>4.8999999999999998E-5</v>
      </c>
      <c r="R54" s="17">
        <f t="shared" si="5"/>
        <v>-3.7081270610446825E-2</v>
      </c>
      <c r="S54">
        <v>49</v>
      </c>
      <c r="T54" s="10" t="str">
        <f t="shared" si="6"/>
        <v>YDUQ3</v>
      </c>
      <c r="U54" s="10">
        <f t="shared" si="12"/>
        <v>-4.2395211754537023E-3</v>
      </c>
      <c r="V54" t="str">
        <f t="shared" si="7"/>
        <v/>
      </c>
      <c r="W54" s="10" t="str">
        <f t="shared" si="8"/>
        <v>GGBR4</v>
      </c>
      <c r="X54" s="10">
        <f t="shared" si="9"/>
        <v>-5.2933408577882817E-4</v>
      </c>
      <c r="Y54" s="33">
        <f t="shared" si="10"/>
        <v>721.41216982990954</v>
      </c>
      <c r="Z54" s="80">
        <f t="shared" si="11"/>
        <v>0</v>
      </c>
      <c r="AN54" t="str">
        <f>RTD("rtdtrading.rtdserver",, "WDOQ24_F_0", "DAT")</f>
        <v>30/12/1899</v>
      </c>
      <c r="AO54" t="str">
        <f>RTD("rtdtrading.rtdserver",, "WDOQ24_F_0", "HOR")</f>
        <v>00:00:00</v>
      </c>
      <c r="AP54">
        <f>RTD("rtdtrading.rtdserver",, "WDOQ24_F_0", "ULT")</f>
        <v>0</v>
      </c>
      <c r="AQ54">
        <f>RTD("rtdtrading.rtdserver",, "WDOQ24_F_0", "ABE")</f>
        <v>0</v>
      </c>
      <c r="AR54">
        <f>RTD("rtdtrading.rtdserver",, "WDOQ24_F_0", "MAX")</f>
        <v>0</v>
      </c>
      <c r="AS54">
        <f>RTD("rtdtrading.rtdserver",, "WDOQ24_F_0", "MIN")</f>
        <v>0</v>
      </c>
      <c r="AT54">
        <f>RTD("rtdtrading.rtdserver",, "WDOQ24_F_0", "FEC")</f>
        <v>0</v>
      </c>
      <c r="AU54">
        <f>RTD("rtdtrading.rtdserver",, "WDOQ24_F_0", "PEX")</f>
        <v>0</v>
      </c>
      <c r="AV54">
        <f>RTD("rtdtrading.rtdserver",, "WDOQ24_F_0", "VAR")</f>
        <v>0</v>
      </c>
      <c r="AW54">
        <f>RTD("rtdtrading.rtdserver",, "WDOQ24_F_0", "VARPTS")</f>
        <v>0</v>
      </c>
      <c r="AX54">
        <f>RTD("rtdtrading.rtdserver",, "WDOQ24_F_0", "MED")</f>
        <v>0</v>
      </c>
      <c r="AY54" t="s">
        <v>253</v>
      </c>
      <c r="AZ54">
        <f>RTD("rtdtrading.rtdserver",, "WDOQ24_F_0", "NEG")</f>
        <v>0</v>
      </c>
      <c r="BA54">
        <f>RTD("rtdtrading.rtdserver",, "WDOQ24_F_0", "QUL")</f>
        <v>0</v>
      </c>
      <c r="BB54">
        <f>RTD("rtdtrading.rtdserver",, "WDOQ24_F_0", "QTT")</f>
        <v>0</v>
      </c>
      <c r="BC54">
        <f>RTD("rtdtrading.rtdserver",, "WDOQ24_F_0", "VOL")</f>
        <v>0</v>
      </c>
      <c r="BD54">
        <f>RTD("rtdtrading.rtdserver",, "WDOQ24_F_0", "OCP")</f>
        <v>0</v>
      </c>
      <c r="BE54">
        <f>RTD("rtdtrading.rtdserver",, "WDOQ24_F_0", "OVD")</f>
        <v>0</v>
      </c>
      <c r="BF54">
        <f>RTD("rtdtrading.rtdserver",, "WDOQ24_F_0", "VOC")</f>
        <v>0</v>
      </c>
      <c r="BG54">
        <f>RTD("rtdtrading.rtdserver",, "WDOQ24_F_0", "VOV")</f>
        <v>0</v>
      </c>
      <c r="BH54">
        <f>RTD("rtdtrading.rtdserver",, "WDOQ24_F_0", "AJU")</f>
        <v>0</v>
      </c>
      <c r="BI54">
        <f>RTD("rtdtrading.rtdserver",, "WDOQ24_F_0", "AJA")</f>
        <v>0</v>
      </c>
      <c r="BJ54">
        <f>RTD("rtdtrading.rtdserver",, "WDOQ24_F_0", "PRT")</f>
        <v>0</v>
      </c>
      <c r="BK54">
        <f>RTD("rtdtrading.rtdserver",, "WDOQ24_F_0", "QTE")</f>
        <v>0</v>
      </c>
      <c r="BL54">
        <f>RTD("rtdtrading.rtdserver",, "WDOQ24_F_0", "VPJ")</f>
        <v>0</v>
      </c>
      <c r="BM54">
        <f>RTD("rtdtrading.rtdserver",, "WDOQ24_F_0", "SEM")</f>
        <v>0</v>
      </c>
      <c r="BN54">
        <f>RTD("rtdtrading.rtdserver",, "WDOQ24_F_0", "MES")</f>
        <v>0</v>
      </c>
      <c r="BO54">
        <f>RTD("rtdtrading.rtdserver",, "WDOQ24_F_0", "3M")</f>
        <v>0</v>
      </c>
      <c r="BP54">
        <f>RTD("rtdtrading.rtdserver",, "WDOQ24_F_0", "6M")</f>
        <v>0</v>
      </c>
      <c r="BQ54">
        <f>RTD("rtdtrading.rtdserver",, "WDOQ24_F_0", "12M")</f>
        <v>0</v>
      </c>
      <c r="BR54">
        <f>RTD("rtdtrading.rtdserver",, "WDOQ24_F_0", "ANO")</f>
        <v>0</v>
      </c>
      <c r="BS54">
        <f>RTD("rtdtrading.rtdserver",, "WDOQ24_F_0", "TRIM")</f>
        <v>0</v>
      </c>
      <c r="BT54">
        <f>RTD("rtdtrading.rtdserver",, "WDOQ24_F_0", "SEMES")</f>
        <v>0</v>
      </c>
      <c r="BU54" t="str">
        <f>RTD("rtdtrading.rtdserver",, "WDOQ24_F_0", "VEN")</f>
        <v>29/12/2024</v>
      </c>
      <c r="BV54" t="str">
        <f>RTD("rtdtrading.rtdserver",, "WDOQ24_F_0", "VAL")</f>
        <v>29/12/2024</v>
      </c>
      <c r="BW54">
        <f>RTD("rtdtrading.rtdserver",, "WDOQ24_F_0", "CAB")</f>
        <v>0</v>
      </c>
      <c r="BX54" t="str">
        <f>RTD("rtdtrading.rtdserver",, "WDOQ24_F_0", "EST")</f>
        <v>NONE</v>
      </c>
      <c r="BY54" t="str">
        <f>RTD("rtdtrading.rtdserver",, "WDOQ24_F_0", "BLACK")</f>
        <v>-</v>
      </c>
      <c r="BZ54" t="str">
        <f>RTD("rtdtrading.rtdserver",, "WDOQ24_F_0", "IMPVT")</f>
        <v>-</v>
      </c>
      <c r="CA54" t="str">
        <f>RTD("rtdtrading.rtdserver",, "WDOQ24_F_0", "DELTA")</f>
        <v>-</v>
      </c>
      <c r="CB54" t="str">
        <f>RTD("rtdtrading.rtdserver",, "WDOQ24_F_0", "GAMA")</f>
        <v>-</v>
      </c>
      <c r="CC54" t="str">
        <f>RTD("rtdtrading.rtdserver",, "WDOQ24_F_0", "THETA")</f>
        <v>-</v>
      </c>
      <c r="CD54" t="str">
        <f>RTD("rtdtrading.rtdserver",, "WDOQ24_F_0", "RHO")</f>
        <v>-</v>
      </c>
      <c r="CE54" t="str">
        <f>RTD("rtdtrading.rtdserver",, "WDOQ24_F_0", "VEGA")</f>
        <v>-</v>
      </c>
      <c r="CF54" t="str">
        <f>RTD("rtdtrading.rtdserver",, "WDOQ24_F_0", "VIA")</f>
        <v>-</v>
      </c>
      <c r="CG54" t="str">
        <f>RTD("rtdtrading.rtdserver",, "WDOQ24_F_0", "VIB")</f>
        <v>-</v>
      </c>
      <c r="CH54" t="str">
        <f>RTD("rtdtrading.rtdserver",, "WDOQ24_F_0", "DOBRAR")</f>
        <v>-</v>
      </c>
      <c r="CI54" t="str">
        <f>RTD("rtdtrading.rtdserver",, "WDOQ24_F_0", "VIVH")</f>
        <v>-</v>
      </c>
      <c r="CJ54" t="str">
        <f>RTD("rtdtrading.rtdserver",, "WDOQ24_F_0", "VINT")</f>
        <v>-</v>
      </c>
      <c r="CK54" t="str">
        <f>RTD("rtdtrading.rtdserver",, "WDOQ24_F_0", "VEXT")</f>
        <v>-</v>
      </c>
    </row>
    <row r="55" spans="2:89" x14ac:dyDescent="0.25">
      <c r="B55" t="s">
        <v>299</v>
      </c>
      <c r="C55" t="s">
        <v>300</v>
      </c>
      <c r="D55" t="s">
        <v>142</v>
      </c>
      <c r="E55" s="76">
        <v>433648983</v>
      </c>
      <c r="F55">
        <v>0.13500000000000001</v>
      </c>
      <c r="J55" s="3">
        <f>RTD("rtdtrading.rtdserver",, $B55&amp;"_B_0", J$4)</f>
        <v>6.46</v>
      </c>
      <c r="K55" s="3">
        <f>RTD("rtdtrading.rtdserver",, $B55&amp;"_B_0", K$4)</f>
        <v>6.62</v>
      </c>
      <c r="L55" s="3">
        <f>RTD("rtdtrading.rtdserver",, $B55&amp;"_B_0", L$4)</f>
        <v>0</v>
      </c>
      <c r="M55" s="3">
        <f t="shared" si="3"/>
        <v>6.62</v>
      </c>
      <c r="O55" s="33">
        <f t="shared" si="4"/>
        <v>191.14606683335745</v>
      </c>
      <c r="P55" s="10">
        <f t="shared" ref="P55:P87" si="13">IFERROR(M55/J55-1,0)</f>
        <v>2.4767801857585203E-2</v>
      </c>
      <c r="Q55">
        <v>5.0000000000000002E-5</v>
      </c>
      <c r="R55" s="17">
        <f t="shared" si="5"/>
        <v>2.4817801857585205E-2</v>
      </c>
      <c r="S55">
        <v>50</v>
      </c>
      <c r="T55" s="10" t="str">
        <f t="shared" si="6"/>
        <v>SUZB3</v>
      </c>
      <c r="U55" s="10">
        <f t="shared" si="12"/>
        <v>-4.4933685957270356E-3</v>
      </c>
      <c r="V55" t="str">
        <f t="shared" si="7"/>
        <v/>
      </c>
      <c r="W55" s="10" t="str">
        <f t="shared" si="8"/>
        <v>CVCB3</v>
      </c>
      <c r="X55" s="10">
        <f t="shared" si="9"/>
        <v>2.4000000000000001E-5</v>
      </c>
      <c r="Y55" s="33">
        <f t="shared" si="10"/>
        <v>191.14606683335745</v>
      </c>
      <c r="Z55" s="80">
        <f t="shared" si="11"/>
        <v>0</v>
      </c>
      <c r="AN55" t="str">
        <f>RTD("rtdtrading.rtdserver",, "WDOU24_F_0", "DAT")</f>
        <v>30/12/1899</v>
      </c>
      <c r="AO55" t="str">
        <f>RTD("rtdtrading.rtdserver",, "WDOU24_F_0", "HOR")</f>
        <v>00:00:00</v>
      </c>
      <c r="AP55">
        <f>RTD("rtdtrading.rtdserver",, "WDOU24_F_0", "ULT")</f>
        <v>0</v>
      </c>
      <c r="AQ55">
        <f>RTD("rtdtrading.rtdserver",, "WDOU24_F_0", "ABE")</f>
        <v>0</v>
      </c>
      <c r="AR55">
        <f>RTD("rtdtrading.rtdserver",, "WDOU24_F_0", "MAX")</f>
        <v>0</v>
      </c>
      <c r="AS55">
        <f>RTD("rtdtrading.rtdserver",, "WDOU24_F_0", "MIN")</f>
        <v>0</v>
      </c>
      <c r="AT55">
        <f>RTD("rtdtrading.rtdserver",, "WDOU24_F_0", "FEC")</f>
        <v>0</v>
      </c>
      <c r="AU55">
        <f>RTD("rtdtrading.rtdserver",, "WDOU24_F_0", "PEX")</f>
        <v>0</v>
      </c>
      <c r="AV55">
        <f>RTD("rtdtrading.rtdserver",, "WDOU24_F_0", "VAR")</f>
        <v>0</v>
      </c>
      <c r="AW55">
        <f>RTD("rtdtrading.rtdserver",, "WDOU24_F_0", "VARPTS")</f>
        <v>0</v>
      </c>
      <c r="AX55">
        <f>RTD("rtdtrading.rtdserver",, "WDOU24_F_0", "MED")</f>
        <v>0</v>
      </c>
      <c r="AY55" t="s">
        <v>253</v>
      </c>
      <c r="AZ55">
        <f>RTD("rtdtrading.rtdserver",, "WDOU24_F_0", "NEG")</f>
        <v>0</v>
      </c>
      <c r="BA55">
        <f>RTD("rtdtrading.rtdserver",, "WDOU24_F_0", "QUL")</f>
        <v>0</v>
      </c>
      <c r="BB55">
        <f>RTD("rtdtrading.rtdserver",, "WDOU24_F_0", "QTT")</f>
        <v>0</v>
      </c>
      <c r="BC55">
        <f>RTD("rtdtrading.rtdserver",, "WDOU24_F_0", "VOL")</f>
        <v>0</v>
      </c>
      <c r="BD55">
        <f>RTD("rtdtrading.rtdserver",, "WDOU24_F_0", "OCP")</f>
        <v>0</v>
      </c>
      <c r="BE55">
        <f>RTD("rtdtrading.rtdserver",, "WDOU24_F_0", "OVD")</f>
        <v>0</v>
      </c>
      <c r="BF55">
        <f>RTD("rtdtrading.rtdserver",, "WDOU24_F_0", "VOC")</f>
        <v>0</v>
      </c>
      <c r="BG55">
        <f>RTD("rtdtrading.rtdserver",, "WDOU24_F_0", "VOV")</f>
        <v>0</v>
      </c>
      <c r="BH55">
        <f>RTD("rtdtrading.rtdserver",, "WDOU24_F_0", "AJU")</f>
        <v>0</v>
      </c>
      <c r="BI55">
        <f>RTD("rtdtrading.rtdserver",, "WDOU24_F_0", "AJA")</f>
        <v>0</v>
      </c>
      <c r="BJ55">
        <f>RTD("rtdtrading.rtdserver",, "WDOU24_F_0", "PRT")</f>
        <v>0</v>
      </c>
      <c r="BK55">
        <f>RTD("rtdtrading.rtdserver",, "WDOU24_F_0", "QTE")</f>
        <v>0</v>
      </c>
      <c r="BL55">
        <f>RTD("rtdtrading.rtdserver",, "WDOU24_F_0", "VPJ")</f>
        <v>0</v>
      </c>
      <c r="BM55">
        <f>RTD("rtdtrading.rtdserver",, "WDOU24_F_0", "SEM")</f>
        <v>0</v>
      </c>
      <c r="BN55">
        <f>RTD("rtdtrading.rtdserver",, "WDOU24_F_0", "MES")</f>
        <v>0</v>
      </c>
      <c r="BO55">
        <f>RTD("rtdtrading.rtdserver",, "WDOU24_F_0", "3M")</f>
        <v>0</v>
      </c>
      <c r="BP55">
        <f>RTD("rtdtrading.rtdserver",, "WDOU24_F_0", "6M")</f>
        <v>0</v>
      </c>
      <c r="BQ55">
        <f>RTD("rtdtrading.rtdserver",, "WDOU24_F_0", "12M")</f>
        <v>0</v>
      </c>
      <c r="BR55">
        <f>RTD("rtdtrading.rtdserver",, "WDOU24_F_0", "ANO")</f>
        <v>0</v>
      </c>
      <c r="BS55">
        <f>RTD("rtdtrading.rtdserver",, "WDOU24_F_0", "TRIM")</f>
        <v>0</v>
      </c>
      <c r="BT55">
        <f>RTD("rtdtrading.rtdserver",, "WDOU24_F_0", "SEMES")</f>
        <v>0</v>
      </c>
      <c r="BU55" t="str">
        <f>RTD("rtdtrading.rtdserver",, "WDOU24_F_0", "VEN")</f>
        <v>29/12/2024</v>
      </c>
      <c r="BV55" t="str">
        <f>RTD("rtdtrading.rtdserver",, "WDOU24_F_0", "VAL")</f>
        <v>29/12/2024</v>
      </c>
      <c r="BW55">
        <f>RTD("rtdtrading.rtdserver",, "WDOU24_F_0", "CAB")</f>
        <v>0</v>
      </c>
      <c r="BX55" t="str">
        <f>RTD("rtdtrading.rtdserver",, "WDOU24_F_0", "EST")</f>
        <v>NONE</v>
      </c>
      <c r="BY55" t="str">
        <f>RTD("rtdtrading.rtdserver",, "WDOU24_F_0", "BLACK")</f>
        <v>-</v>
      </c>
      <c r="BZ55" t="str">
        <f>RTD("rtdtrading.rtdserver",, "WDOU24_F_0", "IMPVT")</f>
        <v>-</v>
      </c>
      <c r="CA55" t="str">
        <f>RTD("rtdtrading.rtdserver",, "WDOU24_F_0", "DELTA")</f>
        <v>-</v>
      </c>
      <c r="CB55" t="str">
        <f>RTD("rtdtrading.rtdserver",, "WDOU24_F_0", "GAMA")</f>
        <v>-</v>
      </c>
      <c r="CC55" t="str">
        <f>RTD("rtdtrading.rtdserver",, "WDOU24_F_0", "THETA")</f>
        <v>-</v>
      </c>
      <c r="CD55" t="str">
        <f>RTD("rtdtrading.rtdserver",, "WDOU24_F_0", "RHO")</f>
        <v>-</v>
      </c>
      <c r="CE55" t="str">
        <f>RTD("rtdtrading.rtdserver",, "WDOU24_F_0", "VEGA")</f>
        <v>-</v>
      </c>
      <c r="CF55" t="str">
        <f>RTD("rtdtrading.rtdserver",, "WDOU24_F_0", "VIA")</f>
        <v>-</v>
      </c>
      <c r="CG55" t="str">
        <f>RTD("rtdtrading.rtdserver",, "WDOU24_F_0", "VIB")</f>
        <v>-</v>
      </c>
      <c r="CH55" t="str">
        <f>RTD("rtdtrading.rtdserver",, "WDOU24_F_0", "DOBRAR")</f>
        <v>-</v>
      </c>
      <c r="CI55" t="str">
        <f>RTD("rtdtrading.rtdserver",, "WDOU24_F_0", "VIVH")</f>
        <v>-</v>
      </c>
      <c r="CJ55" t="str">
        <f>RTD("rtdtrading.rtdserver",, "WDOU24_F_0", "VINT")</f>
        <v>-</v>
      </c>
      <c r="CK55" t="str">
        <f>RTD("rtdtrading.rtdserver",, "WDOU24_F_0", "VEXT")</f>
        <v>-</v>
      </c>
    </row>
    <row r="56" spans="2:89" x14ac:dyDescent="0.25">
      <c r="B56" t="s">
        <v>303</v>
      </c>
      <c r="C56" t="s">
        <v>304</v>
      </c>
      <c r="D56" t="s">
        <v>142</v>
      </c>
      <c r="E56" s="76">
        <v>988559510</v>
      </c>
      <c r="F56">
        <v>0.64600000000000002</v>
      </c>
      <c r="J56" s="3">
        <f>RTD("rtdtrading.rtdserver",, $B56&amp;"_B_0", J$4)</f>
        <v>14</v>
      </c>
      <c r="K56" s="3">
        <f>RTD("rtdtrading.rtdserver",, $B56&amp;"_B_0", K$4)</f>
        <v>13.91</v>
      </c>
      <c r="L56" s="3">
        <f>RTD("rtdtrading.rtdserver",, $B56&amp;"_B_0", L$4)</f>
        <v>0</v>
      </c>
      <c r="M56" s="3">
        <f t="shared" si="3"/>
        <v>13.91</v>
      </c>
      <c r="O56" s="33">
        <f t="shared" si="4"/>
        <v>915.58568260881793</v>
      </c>
      <c r="P56" s="10">
        <f t="shared" si="13"/>
        <v>-6.4285714285714501E-3</v>
      </c>
      <c r="Q56">
        <v>5.1E-5</v>
      </c>
      <c r="R56" s="17">
        <f t="shared" si="5"/>
        <v>-6.3775714285714503E-3</v>
      </c>
      <c r="S56">
        <v>51</v>
      </c>
      <c r="T56" s="10" t="str">
        <f t="shared" si="6"/>
        <v>TAEE11</v>
      </c>
      <c r="U56" s="10">
        <f t="shared" si="12"/>
        <v>-4.6486002220988299E-3</v>
      </c>
      <c r="V56" t="str">
        <f t="shared" si="7"/>
        <v/>
      </c>
      <c r="W56" s="10" t="str">
        <f t="shared" si="8"/>
        <v>VALE3</v>
      </c>
      <c r="X56" s="10">
        <f t="shared" si="9"/>
        <v>7.7000000000000001E-5</v>
      </c>
      <c r="Y56" s="33">
        <f t="shared" si="10"/>
        <v>915.58568260881793</v>
      </c>
      <c r="Z56" s="80">
        <f t="shared" si="11"/>
        <v>0</v>
      </c>
      <c r="AN56" t="str">
        <f>RTD("rtdtrading.rtdserver",, "WDOX24_F_0", "DAT")</f>
        <v>30/12/1899</v>
      </c>
      <c r="AO56" t="str">
        <f>RTD("rtdtrading.rtdserver",, "WDOX24_F_0", "HOR")</f>
        <v>00:00:00</v>
      </c>
      <c r="AP56">
        <f>RTD("rtdtrading.rtdserver",, "WDOX24_F_0", "ULT")</f>
        <v>0</v>
      </c>
      <c r="AQ56">
        <f>RTD("rtdtrading.rtdserver",, "WDOX24_F_0", "ABE")</f>
        <v>0</v>
      </c>
      <c r="AR56">
        <f>RTD("rtdtrading.rtdserver",, "WDOX24_F_0", "MAX")</f>
        <v>0</v>
      </c>
      <c r="AS56">
        <f>RTD("rtdtrading.rtdserver",, "WDOX24_F_0", "MIN")</f>
        <v>0</v>
      </c>
      <c r="AT56">
        <f>RTD("rtdtrading.rtdserver",, "WDOX24_F_0", "FEC")</f>
        <v>0</v>
      </c>
      <c r="AU56">
        <f>RTD("rtdtrading.rtdserver",, "WDOX24_F_0", "PEX")</f>
        <v>0</v>
      </c>
      <c r="AV56">
        <f>RTD("rtdtrading.rtdserver",, "WDOX24_F_0", "VAR")</f>
        <v>0</v>
      </c>
      <c r="AW56">
        <f>RTD("rtdtrading.rtdserver",, "WDOX24_F_0", "VARPTS")</f>
        <v>0</v>
      </c>
      <c r="AX56">
        <f>RTD("rtdtrading.rtdserver",, "WDOX24_F_0", "MED")</f>
        <v>0</v>
      </c>
      <c r="AY56" t="s">
        <v>253</v>
      </c>
      <c r="AZ56">
        <f>RTD("rtdtrading.rtdserver",, "WDOX24_F_0", "NEG")</f>
        <v>0</v>
      </c>
      <c r="BA56">
        <f>RTD("rtdtrading.rtdserver",, "WDOX24_F_0", "QUL")</f>
        <v>0</v>
      </c>
      <c r="BB56">
        <f>RTD("rtdtrading.rtdserver",, "WDOX24_F_0", "QTT")</f>
        <v>0</v>
      </c>
      <c r="BC56">
        <f>RTD("rtdtrading.rtdserver",, "WDOX24_F_0", "VOL")</f>
        <v>0</v>
      </c>
      <c r="BD56">
        <f>RTD("rtdtrading.rtdserver",, "WDOX24_F_0", "OCP")</f>
        <v>0</v>
      </c>
      <c r="BE56">
        <f>RTD("rtdtrading.rtdserver",, "WDOX24_F_0", "OVD")</f>
        <v>0</v>
      </c>
      <c r="BF56">
        <f>RTD("rtdtrading.rtdserver",, "WDOX24_F_0", "VOC")</f>
        <v>0</v>
      </c>
      <c r="BG56">
        <f>RTD("rtdtrading.rtdserver",, "WDOX24_F_0", "VOV")</f>
        <v>0</v>
      </c>
      <c r="BH56">
        <f>RTD("rtdtrading.rtdserver",, "WDOX24_F_0", "AJU")</f>
        <v>0</v>
      </c>
      <c r="BI56">
        <f>RTD("rtdtrading.rtdserver",, "WDOX24_F_0", "AJA")</f>
        <v>0</v>
      </c>
      <c r="BJ56">
        <f>RTD("rtdtrading.rtdserver",, "WDOX24_F_0", "PRT")</f>
        <v>0</v>
      </c>
      <c r="BK56">
        <f>RTD("rtdtrading.rtdserver",, "WDOX24_F_0", "QTE")</f>
        <v>0</v>
      </c>
      <c r="BL56">
        <f>RTD("rtdtrading.rtdserver",, "WDOX24_F_0", "VPJ")</f>
        <v>0</v>
      </c>
      <c r="BM56">
        <f>RTD("rtdtrading.rtdserver",, "WDOX24_F_0", "SEM")</f>
        <v>0</v>
      </c>
      <c r="BN56">
        <f>RTD("rtdtrading.rtdserver",, "WDOX24_F_0", "MES")</f>
        <v>0</v>
      </c>
      <c r="BO56">
        <f>RTD("rtdtrading.rtdserver",, "WDOX24_F_0", "3M")</f>
        <v>0</v>
      </c>
      <c r="BP56">
        <f>RTD("rtdtrading.rtdserver",, "WDOX24_F_0", "6M")</f>
        <v>0</v>
      </c>
      <c r="BQ56">
        <f>RTD("rtdtrading.rtdserver",, "WDOX24_F_0", "12M")</f>
        <v>0</v>
      </c>
      <c r="BR56">
        <f>RTD("rtdtrading.rtdserver",, "WDOX24_F_0", "ANO")</f>
        <v>0</v>
      </c>
      <c r="BS56">
        <f>RTD("rtdtrading.rtdserver",, "WDOX24_F_0", "TRIM")</f>
        <v>0</v>
      </c>
      <c r="BT56">
        <f>RTD("rtdtrading.rtdserver",, "WDOX24_F_0", "SEMES")</f>
        <v>0</v>
      </c>
      <c r="BU56" t="str">
        <f>RTD("rtdtrading.rtdserver",, "WDOX24_F_0", "VEN")</f>
        <v>01/11/2024</v>
      </c>
      <c r="BV56" t="str">
        <f>RTD("rtdtrading.rtdserver",, "WDOX24_F_0", "VAL")</f>
        <v>31/10/2024</v>
      </c>
      <c r="BW56">
        <f>RTD("rtdtrading.rtdserver",, "WDOX24_F_0", "CAB")</f>
        <v>0</v>
      </c>
      <c r="BX56" t="str">
        <f>RTD("rtdtrading.rtdserver",, "WDOX24_F_0", "EST")</f>
        <v>NONE</v>
      </c>
      <c r="BY56" t="str">
        <f>RTD("rtdtrading.rtdserver",, "WDOX24_F_0", "BLACK")</f>
        <v>-</v>
      </c>
      <c r="BZ56" t="str">
        <f>RTD("rtdtrading.rtdserver",, "WDOX24_F_0", "IMPVT")</f>
        <v>-</v>
      </c>
      <c r="CA56" t="str">
        <f>RTD("rtdtrading.rtdserver",, "WDOX24_F_0", "DELTA")</f>
        <v>-</v>
      </c>
      <c r="CB56" t="str">
        <f>RTD("rtdtrading.rtdserver",, "WDOX24_F_0", "GAMA")</f>
        <v>-</v>
      </c>
      <c r="CC56" t="str">
        <f>RTD("rtdtrading.rtdserver",, "WDOX24_F_0", "THETA")</f>
        <v>-</v>
      </c>
      <c r="CD56" t="str">
        <f>RTD("rtdtrading.rtdserver",, "WDOX24_F_0", "RHO")</f>
        <v>-</v>
      </c>
      <c r="CE56" t="str">
        <f>RTD("rtdtrading.rtdserver",, "WDOX24_F_0", "VEGA")</f>
        <v>-</v>
      </c>
      <c r="CF56" t="str">
        <f>RTD("rtdtrading.rtdserver",, "WDOX24_F_0", "VIA")</f>
        <v>-</v>
      </c>
      <c r="CG56" t="str">
        <f>RTD("rtdtrading.rtdserver",, "WDOX24_F_0", "VIB")</f>
        <v>-</v>
      </c>
      <c r="CH56" t="str">
        <f>RTD("rtdtrading.rtdserver",, "WDOX24_F_0", "DOBRAR")</f>
        <v>-</v>
      </c>
      <c r="CI56" t="str">
        <f>RTD("rtdtrading.rtdserver",, "WDOX24_F_0", "VIVH")</f>
        <v>-</v>
      </c>
      <c r="CJ56" t="str">
        <f>RTD("rtdtrading.rtdserver",, "WDOX24_F_0", "VINT")</f>
        <v>-</v>
      </c>
      <c r="CK56" t="str">
        <f>RTD("rtdtrading.rtdserver",, "WDOX24_F_0", "VEXT")</f>
        <v>-</v>
      </c>
    </row>
    <row r="57" spans="2:89" x14ac:dyDescent="0.25">
      <c r="B57" t="s">
        <v>184</v>
      </c>
      <c r="C57" t="s">
        <v>306</v>
      </c>
      <c r="D57" t="s">
        <v>142</v>
      </c>
      <c r="E57" s="76">
        <v>375402024</v>
      </c>
      <c r="F57">
        <v>0.11</v>
      </c>
      <c r="J57" s="3">
        <f>RTD("rtdtrading.rtdserver",, $B57&amp;"_B_0", J$4)</f>
        <v>6.2200000000000006</v>
      </c>
      <c r="K57" s="3">
        <f>RTD("rtdtrading.rtdserver",, $B57&amp;"_B_0", K$4)</f>
        <v>6.24</v>
      </c>
      <c r="L57" s="3">
        <f>RTD("rtdtrading.rtdserver",, $B57&amp;"_B_0", L$4)</f>
        <v>0</v>
      </c>
      <c r="M57" s="3">
        <f t="shared" si="3"/>
        <v>6.24</v>
      </c>
      <c r="O57" s="33">
        <f t="shared" si="4"/>
        <v>155.97329392856949</v>
      </c>
      <c r="P57" s="10">
        <f t="shared" si="13"/>
        <v>3.215434083601254E-3</v>
      </c>
      <c r="Q57">
        <v>5.1999999999999997E-5</v>
      </c>
      <c r="R57" s="17">
        <f t="shared" si="5"/>
        <v>3.267434083601254E-3</v>
      </c>
      <c r="S57">
        <v>52</v>
      </c>
      <c r="T57" s="10" t="str">
        <f t="shared" si="6"/>
        <v>VBBR3</v>
      </c>
      <c r="U57" s="10">
        <f t="shared" si="12"/>
        <v>-4.9971421319797106E-3</v>
      </c>
      <c r="V57" t="str">
        <f t="shared" si="7"/>
        <v/>
      </c>
      <c r="W57" s="10" t="str">
        <f t="shared" si="8"/>
        <v>VIVA3</v>
      </c>
      <c r="X57" s="10">
        <f t="shared" si="9"/>
        <v>4.5037037037035424E-4</v>
      </c>
      <c r="Y57" s="33">
        <f t="shared" si="10"/>
        <v>155.97329392856949</v>
      </c>
      <c r="Z57" s="80">
        <f t="shared" si="11"/>
        <v>0</v>
      </c>
      <c r="AN57" t="str">
        <f>RTD("rtdtrading.rtdserver",, "WDOV24_F_0", "DAT")</f>
        <v>30/12/1899</v>
      </c>
      <c r="AO57" t="str">
        <f>RTD("rtdtrading.rtdserver",, "WDOV24_F_0", "HOR")</f>
        <v>00:00:00</v>
      </c>
      <c r="AP57">
        <f>RTD("rtdtrading.rtdserver",, "WDOV24_F_0", "ULT")</f>
        <v>0</v>
      </c>
      <c r="AQ57">
        <f>RTD("rtdtrading.rtdserver",, "WDOV24_F_0", "ABE")</f>
        <v>0</v>
      </c>
      <c r="AR57">
        <f>RTD("rtdtrading.rtdserver",, "WDOV24_F_0", "MAX")</f>
        <v>0</v>
      </c>
      <c r="AS57">
        <f>RTD("rtdtrading.rtdserver",, "WDOV24_F_0", "MIN")</f>
        <v>0</v>
      </c>
      <c r="AT57">
        <f>RTD("rtdtrading.rtdserver",, "WDOV24_F_0", "FEC")</f>
        <v>0</v>
      </c>
      <c r="AU57">
        <f>RTD("rtdtrading.rtdserver",, "WDOV24_F_0", "PEX")</f>
        <v>0</v>
      </c>
      <c r="AV57">
        <f>RTD("rtdtrading.rtdserver",, "WDOV24_F_0", "VAR")</f>
        <v>0</v>
      </c>
      <c r="AW57">
        <f>RTD("rtdtrading.rtdserver",, "WDOV24_F_0", "VARPTS")</f>
        <v>0</v>
      </c>
      <c r="AX57">
        <f>RTD("rtdtrading.rtdserver",, "WDOV24_F_0", "MED")</f>
        <v>0</v>
      </c>
      <c r="AY57" t="s">
        <v>253</v>
      </c>
      <c r="AZ57">
        <f>RTD("rtdtrading.rtdserver",, "WDOV24_F_0", "NEG")</f>
        <v>0</v>
      </c>
      <c r="BA57">
        <f>RTD("rtdtrading.rtdserver",, "WDOV24_F_0", "QUL")</f>
        <v>0</v>
      </c>
      <c r="BB57">
        <f>RTD("rtdtrading.rtdserver",, "WDOV24_F_0", "QTT")</f>
        <v>0</v>
      </c>
      <c r="BC57">
        <f>RTD("rtdtrading.rtdserver",, "WDOV24_F_0", "VOL")</f>
        <v>0</v>
      </c>
      <c r="BD57">
        <f>RTD("rtdtrading.rtdserver",, "WDOV24_F_0", "OCP")</f>
        <v>0</v>
      </c>
      <c r="BE57">
        <f>RTD("rtdtrading.rtdserver",, "WDOV24_F_0", "OVD")</f>
        <v>0</v>
      </c>
      <c r="BF57">
        <f>RTD("rtdtrading.rtdserver",, "WDOV24_F_0", "VOC")</f>
        <v>0</v>
      </c>
      <c r="BG57">
        <f>RTD("rtdtrading.rtdserver",, "WDOV24_F_0", "VOV")</f>
        <v>0</v>
      </c>
      <c r="BH57">
        <f>RTD("rtdtrading.rtdserver",, "WDOV24_F_0", "AJU")</f>
        <v>0</v>
      </c>
      <c r="BI57">
        <f>RTD("rtdtrading.rtdserver",, "WDOV24_F_0", "AJA")</f>
        <v>0</v>
      </c>
      <c r="BJ57">
        <f>RTD("rtdtrading.rtdserver",, "WDOV24_F_0", "PRT")</f>
        <v>0</v>
      </c>
      <c r="BK57">
        <f>RTD("rtdtrading.rtdserver",, "WDOV24_F_0", "QTE")</f>
        <v>0</v>
      </c>
      <c r="BL57">
        <f>RTD("rtdtrading.rtdserver",, "WDOV24_F_0", "VPJ")</f>
        <v>0</v>
      </c>
      <c r="BM57">
        <f>RTD("rtdtrading.rtdserver",, "WDOV24_F_0", "SEM")</f>
        <v>0</v>
      </c>
      <c r="BN57">
        <f>RTD("rtdtrading.rtdserver",, "WDOV24_F_0", "MES")</f>
        <v>0</v>
      </c>
      <c r="BO57">
        <f>RTD("rtdtrading.rtdserver",, "WDOV24_F_0", "3M")</f>
        <v>0</v>
      </c>
      <c r="BP57">
        <f>RTD("rtdtrading.rtdserver",, "WDOV24_F_0", "6M")</f>
        <v>0</v>
      </c>
      <c r="BQ57">
        <f>RTD("rtdtrading.rtdserver",, "WDOV24_F_0", "12M")</f>
        <v>0</v>
      </c>
      <c r="BR57">
        <f>RTD("rtdtrading.rtdserver",, "WDOV24_F_0", "ANO")</f>
        <v>0</v>
      </c>
      <c r="BS57">
        <f>RTD("rtdtrading.rtdserver",, "WDOV24_F_0", "TRIM")</f>
        <v>0</v>
      </c>
      <c r="BT57">
        <f>RTD("rtdtrading.rtdserver",, "WDOV24_F_0", "SEMES")</f>
        <v>0</v>
      </c>
      <c r="BU57" t="str">
        <f>RTD("rtdtrading.rtdserver",, "WDOV24_F_0", "VEN")</f>
        <v>01/10/2024</v>
      </c>
      <c r="BV57" t="str">
        <f>RTD("rtdtrading.rtdserver",, "WDOV24_F_0", "VAL")</f>
        <v>30/09/2024</v>
      </c>
      <c r="BW57">
        <f>RTD("rtdtrading.rtdserver",, "WDOV24_F_0", "CAB")</f>
        <v>0</v>
      </c>
      <c r="BX57" t="str">
        <f>RTD("rtdtrading.rtdserver",, "WDOV24_F_0", "EST")</f>
        <v>NONE</v>
      </c>
      <c r="BY57" t="str">
        <f>RTD("rtdtrading.rtdserver",, "WDOV24_F_0", "BLACK")</f>
        <v>-</v>
      </c>
      <c r="BZ57" t="str">
        <f>RTD("rtdtrading.rtdserver",, "WDOV24_F_0", "IMPVT")</f>
        <v>-</v>
      </c>
      <c r="CA57" t="str">
        <f>RTD("rtdtrading.rtdserver",, "WDOV24_F_0", "DELTA")</f>
        <v>-</v>
      </c>
      <c r="CB57" t="str">
        <f>RTD("rtdtrading.rtdserver",, "WDOV24_F_0", "GAMA")</f>
        <v>-</v>
      </c>
      <c r="CC57" t="str">
        <f>RTD("rtdtrading.rtdserver",, "WDOV24_F_0", "THETA")</f>
        <v>-</v>
      </c>
      <c r="CD57" t="str">
        <f>RTD("rtdtrading.rtdserver",, "WDOV24_F_0", "RHO")</f>
        <v>-</v>
      </c>
      <c r="CE57" t="str">
        <f>RTD("rtdtrading.rtdserver",, "WDOV24_F_0", "VEGA")</f>
        <v>-</v>
      </c>
      <c r="CF57" t="str">
        <f>RTD("rtdtrading.rtdserver",, "WDOV24_F_0", "VIA")</f>
        <v>-</v>
      </c>
      <c r="CG57" t="str">
        <f>RTD("rtdtrading.rtdserver",, "WDOV24_F_0", "VIB")</f>
        <v>-</v>
      </c>
      <c r="CH57" t="str">
        <f>RTD("rtdtrading.rtdserver",, "WDOV24_F_0", "DOBRAR")</f>
        <v>-</v>
      </c>
      <c r="CI57" t="str">
        <f>RTD("rtdtrading.rtdserver",, "WDOV24_F_0", "VIVH")</f>
        <v>-</v>
      </c>
      <c r="CJ57" t="str">
        <f>RTD("rtdtrading.rtdserver",, "WDOV24_F_0", "VINT")</f>
        <v>-</v>
      </c>
      <c r="CK57" t="str">
        <f>RTD("rtdtrading.rtdserver",, "WDOV24_F_0", "VEXT")</f>
        <v>-</v>
      </c>
    </row>
    <row r="58" spans="2:89" x14ac:dyDescent="0.25">
      <c r="B58" s="2" t="s">
        <v>308</v>
      </c>
      <c r="C58" s="2" t="s">
        <v>309</v>
      </c>
      <c r="D58" s="2" t="s">
        <v>219</v>
      </c>
      <c r="E58" s="79">
        <v>314022221</v>
      </c>
      <c r="F58" s="2">
        <v>0.39900000000000002</v>
      </c>
      <c r="J58" s="3">
        <f>RTD("rtdtrading.rtdserver",, $B58&amp;"_B_0", J$4)</f>
        <v>27.150000000000002</v>
      </c>
      <c r="K58" s="3">
        <f>RTD("rtdtrading.rtdserver",, $B58&amp;"_B_0", K$4)</f>
        <v>27.040000000000003</v>
      </c>
      <c r="L58" s="3">
        <f>RTD("rtdtrading.rtdserver",, $B58&amp;"_B_0", L$4)</f>
        <v>0</v>
      </c>
      <c r="M58" s="3">
        <f t="shared" si="3"/>
        <v>27.040000000000003</v>
      </c>
      <c r="O58" s="33">
        <f t="shared" si="4"/>
        <v>565.37436453260193</v>
      </c>
      <c r="P58" s="10">
        <f t="shared" si="13"/>
        <v>-4.0515653775322624E-3</v>
      </c>
      <c r="Q58">
        <v>5.3000000000000001E-5</v>
      </c>
      <c r="R58" s="17">
        <f t="shared" si="5"/>
        <v>-3.9985653775322623E-3</v>
      </c>
      <c r="S58">
        <v>53</v>
      </c>
      <c r="T58" s="10" t="str">
        <f t="shared" si="6"/>
        <v>CYRE3</v>
      </c>
      <c r="U58" s="10">
        <f t="shared" si="12"/>
        <v>-5.1527701070073735E-3</v>
      </c>
      <c r="V58" t="str">
        <f t="shared" si="7"/>
        <v/>
      </c>
      <c r="W58" s="10" t="str">
        <f t="shared" si="8"/>
        <v>VIVT3</v>
      </c>
      <c r="X58" s="10">
        <f t="shared" si="9"/>
        <v>6.9177068484653232E-4</v>
      </c>
      <c r="Y58" s="33">
        <f t="shared" si="10"/>
        <v>565.37436453260193</v>
      </c>
      <c r="Z58" s="80">
        <f t="shared" si="11"/>
        <v>0</v>
      </c>
      <c r="AM58" t="s">
        <v>313</v>
      </c>
      <c r="AN58" t="str">
        <f>RTD("rtdtrading.rtdserver",, "HBSA3_B_0", "DAT")</f>
        <v>14/10/2025</v>
      </c>
      <c r="AO58" t="str">
        <f>RTD("rtdtrading.rtdserver",, "HBSA3_B_0", "HOR")</f>
        <v>17:40:20</v>
      </c>
      <c r="AP58">
        <f>RTD("rtdtrading.rtdserver",, "HBSA3_B_0", "ULT")</f>
        <v>3.79</v>
      </c>
      <c r="AQ58">
        <f>RTD("rtdtrading.rtdserver",, "HBSA3_B_0", "ABE")</f>
        <v>3.66</v>
      </c>
      <c r="AR58">
        <f>RTD("rtdtrading.rtdserver",, "HBSA3_B_0", "MAX")</f>
        <v>3.8</v>
      </c>
      <c r="AS58">
        <f>RTD("rtdtrading.rtdserver",, "HBSA3_B_0", "MIN")</f>
        <v>3.66</v>
      </c>
      <c r="AT58">
        <f>RTD("rtdtrading.rtdserver",, "HBSA3_B_0", "FEC")</f>
        <v>3.6500000000000004</v>
      </c>
      <c r="AU58">
        <f>RTD("rtdtrading.rtdserver",, "HBSA3_B_0", "PEX")</f>
        <v>0</v>
      </c>
      <c r="AV58">
        <f>RTD("rtdtrading.rtdserver",, "HBSA3_B_0", "VAR")</f>
        <v>3.8356164383561557</v>
      </c>
      <c r="AW58">
        <f>RTD("rtdtrading.rtdserver",, "HBSA3_B_0", "VARPTS")</f>
        <v>0.13999999999999968</v>
      </c>
      <c r="AX58">
        <f>RTD("rtdtrading.rtdserver",, "HBSA3_B_0", "MED")</f>
        <v>3.7490305276251683</v>
      </c>
      <c r="AY58" t="s">
        <v>314</v>
      </c>
      <c r="AZ58">
        <f>RTD("rtdtrading.rtdserver",, "HBSA3_B_0", "NEG")</f>
        <v>2828</v>
      </c>
      <c r="BA58">
        <f>RTD("rtdtrading.rtdserver",, "HBSA3_B_0", "QUL")</f>
        <v>0</v>
      </c>
      <c r="BB58">
        <f>RTD("rtdtrading.rtdserver",, "HBSA3_B_0", "QTT")</f>
        <v>3858800</v>
      </c>
      <c r="BC58">
        <f>RTD("rtdtrading.rtdserver",, "HBSA3_B_0", "VOL")</f>
        <v>14466759</v>
      </c>
      <c r="BD58">
        <f>RTD("rtdtrading.rtdserver",, "HBSA3_B_0", "OCP")</f>
        <v>3.72</v>
      </c>
      <c r="BE58">
        <f>RTD("rtdtrading.rtdserver",, "HBSA3_B_0", "OVD")</f>
        <v>3.8000000000000003</v>
      </c>
      <c r="BF58">
        <f>RTD("rtdtrading.rtdserver",, "HBSA3_B_0", "VOC")</f>
        <v>1000</v>
      </c>
      <c r="BG58">
        <f>RTD("rtdtrading.rtdserver",, "HBSA3_B_0", "VOV")</f>
        <v>101500</v>
      </c>
      <c r="BH58">
        <f>RTD("rtdtrading.rtdserver",, "HBSA3_B_0", "AJU")</f>
        <v>0</v>
      </c>
      <c r="BI58">
        <f>RTD("rtdtrading.rtdserver",, "HBSA3_B_0", "AJA")</f>
        <v>0</v>
      </c>
      <c r="BJ58">
        <f>RTD("rtdtrading.rtdserver",, "HBSA3_B_0", "PRT")</f>
        <v>0</v>
      </c>
      <c r="BK58">
        <f>RTD("rtdtrading.rtdserver",, "HBSA3_B_0", "QTE")</f>
        <v>0</v>
      </c>
      <c r="BL58">
        <f>RTD("rtdtrading.rtdserver",, "HBSA3_B_0", "VPJ")</f>
        <v>14466759</v>
      </c>
      <c r="BM58">
        <f>RTD("rtdtrading.rtdserver",, "HBSA3_B_0", "SEM")</f>
        <v>2.4324324324324285</v>
      </c>
      <c r="BN58">
        <f>RTD("rtdtrading.rtdserver",, "HBSA3_B_0", "MES")</f>
        <v>12.797619047619039</v>
      </c>
      <c r="BO58">
        <f>RTD("rtdtrading.rtdserver",, "HBSA3_B_0", "3M")</f>
        <v>8.5959885386819419</v>
      </c>
      <c r="BP58">
        <f>RTD("rtdtrading.rtdserver",, "HBSA3_B_0", "6M")</f>
        <v>67.699115044247776</v>
      </c>
      <c r="BQ58">
        <f>RTD("rtdtrading.rtdserver",, "HBSA3_B_0", "12M")</f>
        <v>23.78743835124277</v>
      </c>
      <c r="BR58">
        <f>RTD("rtdtrading.rtdserver",, "HBSA3_B_0", "ANO")</f>
        <v>46.745653773183108</v>
      </c>
      <c r="BS58">
        <f>RTD("rtdtrading.rtdserver",, "HBSA3_B_0", "TRIM")</f>
        <v>12.797619047619039</v>
      </c>
      <c r="BT58">
        <f>RTD("rtdtrading.rtdserver",, "HBSA3_B_0", "SEMES")</f>
        <v>5.2777777777777768</v>
      </c>
      <c r="BU58" t="str">
        <f>RTD("rtdtrading.rtdserver",, "HBSA3_B_0", "VEN")</f>
        <v>-</v>
      </c>
      <c r="BV58" t="str">
        <f>RTD("rtdtrading.rtdserver",, "HBSA3_B_0", "VAL")</f>
        <v>31/12/9999</v>
      </c>
      <c r="BW58">
        <f>RTD("rtdtrading.rtdserver",, "HBSA3_B_0", "CAB")</f>
        <v>0</v>
      </c>
      <c r="BX58" t="str">
        <f>RTD("rtdtrading.rtdserver",, "HBSA3_B_0", "EST")</f>
        <v>Pré-Fechamento</v>
      </c>
      <c r="BY58" t="str">
        <f>RTD("rtdtrading.rtdserver",, "HBSA3_B_0", "BLACK")</f>
        <v>-</v>
      </c>
      <c r="BZ58" t="str">
        <f>RTD("rtdtrading.rtdserver",, "HBSA3_B_0", "IMPVT")</f>
        <v>-</v>
      </c>
      <c r="CA58" t="str">
        <f>RTD("rtdtrading.rtdserver",, "HBSA3_B_0", "DELTA")</f>
        <v>-</v>
      </c>
      <c r="CB58" t="str">
        <f>RTD("rtdtrading.rtdserver",, "HBSA3_B_0", "GAMA")</f>
        <v>-</v>
      </c>
      <c r="CC58" t="str">
        <f>RTD("rtdtrading.rtdserver",, "HBSA3_B_0", "THETA")</f>
        <v>-</v>
      </c>
      <c r="CD58" t="str">
        <f>RTD("rtdtrading.rtdserver",, "HBSA3_B_0", "RHO")</f>
        <v>-</v>
      </c>
      <c r="CE58" t="str">
        <f>RTD("rtdtrading.rtdserver",, "HBSA3_B_0", "VEGA")</f>
        <v>-</v>
      </c>
      <c r="CF58" t="str">
        <f>RTD("rtdtrading.rtdserver",, "HBSA3_B_0", "VIA")</f>
        <v>-</v>
      </c>
      <c r="CG58" t="str">
        <f>RTD("rtdtrading.rtdserver",, "HBSA3_B_0", "VIB")</f>
        <v>-</v>
      </c>
      <c r="CH58" t="str">
        <f>RTD("rtdtrading.rtdserver",, "HBSA3_B_0", "DOBRAR")</f>
        <v>-</v>
      </c>
      <c r="CI58" t="str">
        <f>RTD("rtdtrading.rtdserver",, "HBSA3_B_0", "VIVH")</f>
        <v>-</v>
      </c>
      <c r="CJ58" t="str">
        <f>RTD("rtdtrading.rtdserver",, "HBSA3_B_0", "VINT")</f>
        <v>-</v>
      </c>
      <c r="CK58" t="str">
        <f>RTD("rtdtrading.rtdserver",, "HBSA3_B_0", "VEXT")</f>
        <v>-</v>
      </c>
    </row>
    <row r="59" spans="2:89" x14ac:dyDescent="0.25">
      <c r="B59" t="s">
        <v>311</v>
      </c>
      <c r="C59" t="s">
        <v>312</v>
      </c>
      <c r="D59" t="s">
        <v>142</v>
      </c>
      <c r="E59" s="76">
        <v>839505097</v>
      </c>
      <c r="F59">
        <v>0.32600000000000001</v>
      </c>
      <c r="J59" s="3">
        <f>RTD("rtdtrading.rtdserver",, $B59&amp;"_B_0", J$4)</f>
        <v>8.4700000000000006</v>
      </c>
      <c r="K59" s="3">
        <f>RTD("rtdtrading.rtdserver",, $B59&amp;"_B_0", K$4)</f>
        <v>8.24</v>
      </c>
      <c r="L59" s="3">
        <f>RTD("rtdtrading.rtdserver",, $B59&amp;"_B_0", L$4)</f>
        <v>0</v>
      </c>
      <c r="M59" s="3">
        <f t="shared" si="3"/>
        <v>8.24</v>
      </c>
      <c r="O59" s="33">
        <f t="shared" si="4"/>
        <v>460.59539689362333</v>
      </c>
      <c r="P59" s="10">
        <f t="shared" si="13"/>
        <v>-2.7154663518299982E-2</v>
      </c>
      <c r="Q59">
        <v>5.3999999999999998E-5</v>
      </c>
      <c r="R59" s="17">
        <f t="shared" si="5"/>
        <v>-2.7100663518299983E-2</v>
      </c>
      <c r="S59">
        <v>54</v>
      </c>
      <c r="T59" s="10" t="str">
        <f t="shared" si="6"/>
        <v>BRAP4</v>
      </c>
      <c r="U59" s="10">
        <f t="shared" si="12"/>
        <v>-5.1893067590987434E-3</v>
      </c>
      <c r="V59" t="str">
        <f t="shared" si="7"/>
        <v/>
      </c>
      <c r="W59" s="10" t="str">
        <f t="shared" si="8"/>
        <v>BBSE3</v>
      </c>
      <c r="X59" s="10">
        <f t="shared" si="9"/>
        <v>9.3149922958404147E-4</v>
      </c>
      <c r="Y59" s="33">
        <f t="shared" si="10"/>
        <v>460.59539689362333</v>
      </c>
      <c r="Z59" s="80">
        <f t="shared" si="11"/>
        <v>0</v>
      </c>
      <c r="AM59" t="s">
        <v>317</v>
      </c>
      <c r="AN59" t="str">
        <f>RTD("rtdtrading.rtdserver",, "GMAT3_B_0", "DAT")</f>
        <v>14/10/2025</v>
      </c>
      <c r="AO59" t="str">
        <f>RTD("rtdtrading.rtdserver",, "GMAT3_B_0", "HOR")</f>
        <v>17:54:57</v>
      </c>
      <c r="AP59">
        <f>RTD("rtdtrading.rtdserver",, "GMAT3_B_0", "ULT")</f>
        <v>6.2</v>
      </c>
      <c r="AQ59">
        <f>RTD("rtdtrading.rtdserver",, "GMAT3_B_0", "ABE")</f>
        <v>6.31</v>
      </c>
      <c r="AR59">
        <f>RTD("rtdtrading.rtdserver",, "GMAT3_B_0", "MAX")</f>
        <v>6.31</v>
      </c>
      <c r="AS59">
        <f>RTD("rtdtrading.rtdserver",, "GMAT3_B_0", "MIN")</f>
        <v>6.15</v>
      </c>
      <c r="AT59">
        <f>RTD("rtdtrading.rtdserver",, "GMAT3_B_0", "FEC")</f>
        <v>6.3100000000000005</v>
      </c>
      <c r="AU59">
        <f>RTD("rtdtrading.rtdserver",, "GMAT3_B_0", "PEX")</f>
        <v>0</v>
      </c>
      <c r="AV59">
        <f>RTD("rtdtrading.rtdserver",, "GMAT3_B_0", "VAR")</f>
        <v>-1.7432646592710033</v>
      </c>
      <c r="AW59">
        <f>RTD("rtdtrading.rtdserver",, "GMAT3_B_0", "VARPTS")</f>
        <v>-0.11000000000000032</v>
      </c>
      <c r="AX59">
        <f>RTD("rtdtrading.rtdserver",, "GMAT3_B_0", "MED")</f>
        <v>6.1913732360254468</v>
      </c>
      <c r="AY59" t="s">
        <v>318</v>
      </c>
      <c r="AZ59">
        <f>RTD("rtdtrading.rtdserver",, "GMAT3_B_0", "NEG")</f>
        <v>12969</v>
      </c>
      <c r="BA59">
        <f>RTD("rtdtrading.rtdserver",, "GMAT3_B_0", "QUL")</f>
        <v>0</v>
      </c>
      <c r="BB59">
        <f>RTD("rtdtrading.rtdserver",, "GMAT3_B_0", "QTT")</f>
        <v>6193400</v>
      </c>
      <c r="BC59">
        <f>RTD("rtdtrading.rtdserver",, "GMAT3_B_0", "VOL")</f>
        <v>38345651</v>
      </c>
      <c r="BD59">
        <f>RTD("rtdtrading.rtdserver",, "GMAT3_B_0", "OCP")</f>
        <v>6.15</v>
      </c>
      <c r="BE59">
        <f>RTD("rtdtrading.rtdserver",, "GMAT3_B_0", "OVD")</f>
        <v>6.25</v>
      </c>
      <c r="BF59">
        <f>RTD("rtdtrading.rtdserver",, "GMAT3_B_0", "VOC")</f>
        <v>2400</v>
      </c>
      <c r="BG59">
        <f>RTD("rtdtrading.rtdserver",, "GMAT3_B_0", "VOV")</f>
        <v>1000</v>
      </c>
      <c r="BH59">
        <f>RTD("rtdtrading.rtdserver",, "GMAT3_B_0", "AJU")</f>
        <v>0</v>
      </c>
      <c r="BI59">
        <f>RTD("rtdtrading.rtdserver",, "GMAT3_B_0", "AJA")</f>
        <v>0</v>
      </c>
      <c r="BJ59">
        <f>RTD("rtdtrading.rtdserver",, "GMAT3_B_0", "PRT")</f>
        <v>0</v>
      </c>
      <c r="BK59">
        <f>RTD("rtdtrading.rtdserver",, "GMAT3_B_0", "QTE")</f>
        <v>0</v>
      </c>
      <c r="BL59">
        <f>RTD("rtdtrading.rtdserver",, "GMAT3_B_0", "VPJ")</f>
        <v>38345651</v>
      </c>
      <c r="BM59">
        <f>RTD("rtdtrading.rtdserver",, "GMAT3_B_0", "SEM")</f>
        <v>-2.2082018927444884</v>
      </c>
      <c r="BN59">
        <f>RTD("rtdtrading.rtdserver",, "GMAT3_B_0", "MES")</f>
        <v>-10.791366906474821</v>
      </c>
      <c r="BO59">
        <f>RTD("rtdtrading.rtdserver",, "GMAT3_B_0", "3M")</f>
        <v>-19.280292674035596</v>
      </c>
      <c r="BP59">
        <f>RTD("rtdtrading.rtdserver",, "GMAT3_B_0", "6M")</f>
        <v>-16.768468674068014</v>
      </c>
      <c r="BQ59">
        <f>RTD("rtdtrading.rtdserver",, "GMAT3_B_0", "12M")</f>
        <v>-12.351386120417891</v>
      </c>
      <c r="BR59">
        <f>RTD("rtdtrading.rtdserver",, "GMAT3_B_0", "ANO")</f>
        <v>-0.66490426980693884</v>
      </c>
      <c r="BS59">
        <f>RTD("rtdtrading.rtdserver",, "GMAT3_B_0", "TRIM")</f>
        <v>-10.791366906474821</v>
      </c>
      <c r="BT59">
        <f>RTD("rtdtrading.rtdserver",, "GMAT3_B_0", "SEMES")</f>
        <v>-23.430321592649317</v>
      </c>
      <c r="BU59" t="str">
        <f>RTD("rtdtrading.rtdserver",, "GMAT3_B_0", "VEN")</f>
        <v>-</v>
      </c>
      <c r="BV59" t="str">
        <f>RTD("rtdtrading.rtdserver",, "GMAT3_B_0", "VAL")</f>
        <v>31/12/9999</v>
      </c>
      <c r="BW59">
        <f>RTD("rtdtrading.rtdserver",, "GMAT3_B_0", "CAB")</f>
        <v>0</v>
      </c>
      <c r="BX59" t="str">
        <f>RTD("rtdtrading.rtdserver",, "GMAT3_B_0", "EST")</f>
        <v>Pré-Fechamento</v>
      </c>
      <c r="BY59" t="str">
        <f>RTD("rtdtrading.rtdserver",, "GMAT3_B_0", "BLACK")</f>
        <v>-</v>
      </c>
      <c r="BZ59" t="str">
        <f>RTD("rtdtrading.rtdserver",, "GMAT3_B_0", "IMPVT")</f>
        <v>-</v>
      </c>
      <c r="CA59" t="str">
        <f>RTD("rtdtrading.rtdserver",, "GMAT3_B_0", "DELTA")</f>
        <v>-</v>
      </c>
      <c r="CB59" t="str">
        <f>RTD("rtdtrading.rtdserver",, "GMAT3_B_0", "GAMA")</f>
        <v>-</v>
      </c>
      <c r="CC59" t="str">
        <f>RTD("rtdtrading.rtdserver",, "GMAT3_B_0", "THETA")</f>
        <v>-</v>
      </c>
      <c r="CD59" t="str">
        <f>RTD("rtdtrading.rtdserver",, "GMAT3_B_0", "RHO")</f>
        <v>-</v>
      </c>
      <c r="CE59" t="str">
        <f>RTD("rtdtrading.rtdserver",, "GMAT3_B_0", "VEGA")</f>
        <v>-</v>
      </c>
      <c r="CF59" t="str">
        <f>RTD("rtdtrading.rtdserver",, "GMAT3_B_0", "VIA")</f>
        <v>-</v>
      </c>
      <c r="CG59" t="str">
        <f>RTD("rtdtrading.rtdserver",, "GMAT3_B_0", "VIB")</f>
        <v>-</v>
      </c>
      <c r="CH59" t="str">
        <f>RTD("rtdtrading.rtdserver",, "GMAT3_B_0", "DOBRAR")</f>
        <v>-</v>
      </c>
      <c r="CI59" t="str">
        <f>RTD("rtdtrading.rtdserver",, "GMAT3_B_0", "VIVH")</f>
        <v>-</v>
      </c>
      <c r="CJ59" t="str">
        <f>RTD("rtdtrading.rtdserver",, "GMAT3_B_0", "VINT")</f>
        <v>-</v>
      </c>
      <c r="CK59" t="str">
        <f>RTD("rtdtrading.rtdserver",, "GMAT3_B_0", "VEXT")</f>
        <v>-</v>
      </c>
    </row>
    <row r="60" spans="2:89" x14ac:dyDescent="0.25">
      <c r="B60" t="s">
        <v>315</v>
      </c>
      <c r="C60" t="s">
        <v>316</v>
      </c>
      <c r="D60" t="s">
        <v>142</v>
      </c>
      <c r="E60" s="76">
        <v>433412603</v>
      </c>
      <c r="F60">
        <v>7.6999999999999999E-2</v>
      </c>
      <c r="J60" s="3">
        <f>IF(RTD("rtdtrading.rtdserver",, $B60&amp;"_B_0", J$4)=0,M60,RTD("rtdtrading.rtdserver",, $B60&amp;"_B_0", J$4))</f>
        <v>3.8400000000000003</v>
      </c>
      <c r="K60" s="3">
        <f>RTD("rtdtrading.rtdserver",, $B60&amp;"_B_0", K$4)</f>
        <v>3.77</v>
      </c>
      <c r="L60" s="3">
        <f>RTD("rtdtrading.rtdserver",, $B60&amp;"_B_0", L$4)</f>
        <v>0</v>
      </c>
      <c r="M60" s="3">
        <f t="shared" si="3"/>
        <v>3.77</v>
      </c>
      <c r="O60" s="33">
        <f t="shared" si="4"/>
        <v>108.79575000872354</v>
      </c>
      <c r="P60" s="10">
        <f t="shared" si="13"/>
        <v>-1.8229166666666741E-2</v>
      </c>
      <c r="Q60">
        <v>5.5000000000000002E-5</v>
      </c>
      <c r="R60" s="17">
        <f t="shared" si="5"/>
        <v>-1.8174166666666741E-2</v>
      </c>
      <c r="S60">
        <v>55</v>
      </c>
      <c r="T60" s="10" t="str">
        <f t="shared" si="6"/>
        <v>MOTV3</v>
      </c>
      <c r="U60" s="10">
        <f t="shared" si="12"/>
        <v>-6.3775714285714503E-3</v>
      </c>
      <c r="V60" t="str">
        <f t="shared" si="7"/>
        <v/>
      </c>
      <c r="W60" s="10" t="str">
        <f t="shared" si="8"/>
        <v>ITSA4</v>
      </c>
      <c r="X60" s="10">
        <f t="shared" si="9"/>
        <v>9.510909090909705E-4</v>
      </c>
      <c r="Y60" s="33">
        <f t="shared" si="10"/>
        <v>108.79575000872354</v>
      </c>
      <c r="Z60" s="80">
        <f t="shared" si="11"/>
        <v>0</v>
      </c>
      <c r="AM60" t="s">
        <v>321</v>
      </c>
      <c r="AN60" t="str">
        <f>RTD("rtdtrading.rtdserver",, "RAIL3_B_0", "DAT")</f>
        <v>14/10/2025</v>
      </c>
      <c r="AO60" t="str">
        <f>RTD("rtdtrading.rtdserver",, "RAIL3_B_0", "HOR")</f>
        <v>17:07:54</v>
      </c>
      <c r="AP60">
        <f>RTD("rtdtrading.rtdserver",, "RAIL3_B_0", "ULT")</f>
        <v>15.370000000000001</v>
      </c>
      <c r="AQ60">
        <f>RTD("rtdtrading.rtdserver",, "RAIL3_B_0", "ABE")</f>
        <v>15.5</v>
      </c>
      <c r="AR60">
        <f>RTD("rtdtrading.rtdserver",, "RAIL3_B_0", "MAX")</f>
        <v>15.52</v>
      </c>
      <c r="AS60">
        <f>RTD("rtdtrading.rtdserver",, "RAIL3_B_0", "MIN")</f>
        <v>15.26</v>
      </c>
      <c r="AT60">
        <f>RTD("rtdtrading.rtdserver",, "RAIL3_B_0", "FEC")</f>
        <v>15.47</v>
      </c>
      <c r="AU60">
        <f>RTD("rtdtrading.rtdserver",, "RAIL3_B_0", "PEX")</f>
        <v>0</v>
      </c>
      <c r="AV60">
        <f>RTD("rtdtrading.rtdserver",, "RAIL3_B_0", "VAR")</f>
        <v>-0.64641241111829117</v>
      </c>
      <c r="AW60">
        <f>RTD("rtdtrading.rtdserver",, "RAIL3_B_0", "VARPTS")</f>
        <v>-9.9999999999999645E-2</v>
      </c>
      <c r="AX60">
        <f>RTD("rtdtrading.rtdserver",, "RAIL3_B_0", "MED")</f>
        <v>15.373315062542323</v>
      </c>
      <c r="AY60" t="s">
        <v>322</v>
      </c>
      <c r="AZ60">
        <f>RTD("rtdtrading.rtdserver",, "RAIL3_B_0", "NEG")</f>
        <v>9439</v>
      </c>
      <c r="BA60">
        <f>RTD("rtdtrading.rtdserver",, "RAIL3_B_0", "QUL")</f>
        <v>0</v>
      </c>
      <c r="BB60">
        <f>RTD("rtdtrading.rtdserver",, "RAIL3_B_0", "QTT")</f>
        <v>7826700</v>
      </c>
      <c r="BC60">
        <f>RTD("rtdtrading.rtdserver",, "RAIL3_B_0", "VOL")</f>
        <v>120322325</v>
      </c>
      <c r="BD60">
        <f>RTD("rtdtrading.rtdserver",, "RAIL3_B_0", "OCP")</f>
        <v>15.3</v>
      </c>
      <c r="BE60">
        <f>RTD("rtdtrading.rtdserver",, "RAIL3_B_0", "OVD")</f>
        <v>15.47</v>
      </c>
      <c r="BF60">
        <f>RTD("rtdtrading.rtdserver",, "RAIL3_B_0", "VOC")</f>
        <v>200</v>
      </c>
      <c r="BG60">
        <f>RTD("rtdtrading.rtdserver",, "RAIL3_B_0", "VOV")</f>
        <v>800</v>
      </c>
      <c r="BH60">
        <f>RTD("rtdtrading.rtdserver",, "RAIL3_B_0", "AJU")</f>
        <v>0</v>
      </c>
      <c r="BI60">
        <f>RTD("rtdtrading.rtdserver",, "RAIL3_B_0", "AJA")</f>
        <v>0</v>
      </c>
      <c r="BJ60">
        <f>RTD("rtdtrading.rtdserver",, "RAIL3_B_0", "PRT")</f>
        <v>0</v>
      </c>
      <c r="BK60">
        <f>RTD("rtdtrading.rtdserver",, "RAIL3_B_0", "QTE")</f>
        <v>0</v>
      </c>
      <c r="BL60">
        <f>RTD("rtdtrading.rtdserver",, "RAIL3_B_0", "VPJ")</f>
        <v>120322325</v>
      </c>
      <c r="BM60">
        <f>RTD("rtdtrading.rtdserver",, "RAIL3_B_0", "SEM")</f>
        <v>-1.0302640051513208</v>
      </c>
      <c r="BN60">
        <f>RTD("rtdtrading.rtdserver",, "RAIL3_B_0", "MES")</f>
        <v>-3.7570444583594216</v>
      </c>
      <c r="BO60">
        <f>RTD("rtdtrading.rtdserver",, "RAIL3_B_0", "3M")</f>
        <v>-11.615871190339272</v>
      </c>
      <c r="BP60">
        <f>RTD("rtdtrading.rtdserver",, "RAIL3_B_0", "6M")</f>
        <v>-9.7512139841580119</v>
      </c>
      <c r="BQ60">
        <f>RTD("rtdtrading.rtdserver",, "RAIL3_B_0", "12M")</f>
        <v>-16.167142101330299</v>
      </c>
      <c r="BR60">
        <f>RTD("rtdtrading.rtdserver",, "RAIL3_B_0", "ANO")</f>
        <v>-10.105393676379409</v>
      </c>
      <c r="BS60">
        <f>RTD("rtdtrading.rtdserver",, "RAIL3_B_0", "TRIM")</f>
        <v>-3.7570444583594216</v>
      </c>
      <c r="BT60">
        <f>RTD("rtdtrading.rtdserver",, "RAIL3_B_0", "SEMES")</f>
        <v>-17.053426875337291</v>
      </c>
      <c r="BU60" t="str">
        <f>RTD("rtdtrading.rtdserver",, "RAIL3_B_0", "VEN")</f>
        <v>-</v>
      </c>
      <c r="BV60" t="str">
        <f>RTD("rtdtrading.rtdserver",, "RAIL3_B_0", "VAL")</f>
        <v>31/12/9999</v>
      </c>
      <c r="BW60">
        <f>RTD("rtdtrading.rtdserver",, "RAIL3_B_0", "CAB")</f>
        <v>0</v>
      </c>
      <c r="BX60" t="str">
        <f>RTD("rtdtrading.rtdserver",, "RAIL3_B_0", "EST")</f>
        <v>Pré-Fechamento</v>
      </c>
      <c r="BY60" t="str">
        <f>RTD("rtdtrading.rtdserver",, "RAIL3_B_0", "BLACK")</f>
        <v>-</v>
      </c>
      <c r="BZ60" t="str">
        <f>RTD("rtdtrading.rtdserver",, "RAIL3_B_0", "IMPVT")</f>
        <v>-</v>
      </c>
      <c r="CA60" t="str">
        <f>RTD("rtdtrading.rtdserver",, "RAIL3_B_0", "DELTA")</f>
        <v>-</v>
      </c>
      <c r="CB60" t="str">
        <f>RTD("rtdtrading.rtdserver",, "RAIL3_B_0", "GAMA")</f>
        <v>-</v>
      </c>
      <c r="CC60" t="str">
        <f>RTD("rtdtrading.rtdserver",, "RAIL3_B_0", "THETA")</f>
        <v>-</v>
      </c>
      <c r="CD60" t="str">
        <f>RTD("rtdtrading.rtdserver",, "RAIL3_B_0", "RHO")</f>
        <v>-</v>
      </c>
      <c r="CE60" t="str">
        <f>RTD("rtdtrading.rtdserver",, "RAIL3_B_0", "VEGA")</f>
        <v>-</v>
      </c>
      <c r="CF60" t="str">
        <f>RTD("rtdtrading.rtdserver",, "RAIL3_B_0", "VIA")</f>
        <v>-</v>
      </c>
      <c r="CG60" t="str">
        <f>RTD("rtdtrading.rtdserver",, "RAIL3_B_0", "VIB")</f>
        <v>-</v>
      </c>
      <c r="CH60" t="str">
        <f>RTD("rtdtrading.rtdserver",, "RAIL3_B_0", "DOBRAR")</f>
        <v>-</v>
      </c>
      <c r="CI60" t="str">
        <f>RTD("rtdtrading.rtdserver",, "RAIL3_B_0", "VIVH")</f>
        <v>-</v>
      </c>
      <c r="CJ60" t="str">
        <f>RTD("rtdtrading.rtdserver",, "RAIL3_B_0", "VINT")</f>
        <v>-</v>
      </c>
      <c r="CK60" t="str">
        <f>RTD("rtdtrading.rtdserver",, "RAIL3_B_0", "VEXT")</f>
        <v>-</v>
      </c>
    </row>
    <row r="61" spans="2:89" x14ac:dyDescent="0.25">
      <c r="B61" t="s">
        <v>319</v>
      </c>
      <c r="C61" t="s">
        <v>320</v>
      </c>
      <c r="D61" t="s">
        <v>219</v>
      </c>
      <c r="E61" s="76">
        <v>2643091977</v>
      </c>
      <c r="F61">
        <v>3.9980000000000002</v>
      </c>
      <c r="J61" s="3">
        <f>RTD("rtdtrading.rtdserver",, $B61&amp;"_B_0", J$4)</f>
        <v>32.21</v>
      </c>
      <c r="K61" s="3">
        <f>RTD("rtdtrading.rtdserver",, $B61&amp;"_B_0", K$4)</f>
        <v>32.190000000000005</v>
      </c>
      <c r="L61" s="3">
        <f>RTD("rtdtrading.rtdserver",, $B61&amp;"_B_0", L$4)</f>
        <v>0</v>
      </c>
      <c r="M61" s="3">
        <f t="shared" si="3"/>
        <v>32.190000000000005</v>
      </c>
      <c r="O61" s="33">
        <f t="shared" si="4"/>
        <v>5665.0310884818246</v>
      </c>
      <c r="P61" s="10">
        <f t="shared" si="13"/>
        <v>-6.2092517851586315E-4</v>
      </c>
      <c r="Q61">
        <v>5.5999999999999999E-5</v>
      </c>
      <c r="R61" s="17">
        <f t="shared" si="5"/>
        <v>-5.649251785158632E-4</v>
      </c>
      <c r="S61">
        <v>56</v>
      </c>
      <c r="T61" s="10" t="str">
        <f t="shared" si="6"/>
        <v>RAIL3</v>
      </c>
      <c r="U61" s="10">
        <f t="shared" si="12"/>
        <v>-6.4001241111829119E-3</v>
      </c>
      <c r="V61" t="str">
        <f t="shared" si="7"/>
        <v/>
      </c>
      <c r="W61" s="10" t="str">
        <f t="shared" si="8"/>
        <v>CSAN3</v>
      </c>
      <c r="X61" s="10">
        <f t="shared" si="9"/>
        <v>1.7235775127767217E-3</v>
      </c>
      <c r="Y61" s="33">
        <f t="shared" si="10"/>
        <v>5665.0310884818246</v>
      </c>
      <c r="Z61" s="80">
        <f t="shared" si="11"/>
        <v>0</v>
      </c>
      <c r="AM61" t="s">
        <v>140</v>
      </c>
      <c r="AN61" t="str">
        <f>RTD("rtdtrading.rtdserver",, "ASAI3_B_0", "DAT")</f>
        <v>14/10/2025</v>
      </c>
      <c r="AO61" t="str">
        <f>RTD("rtdtrading.rtdserver",, "ASAI3_B_0", "HOR")</f>
        <v>17:07:45</v>
      </c>
      <c r="AP61">
        <f>RTD("rtdtrading.rtdserver",, "ASAI3_B_0", "ULT")</f>
        <v>8.1900000000000013</v>
      </c>
      <c r="AQ61">
        <f>RTD("rtdtrading.rtdserver",, "ASAI3_B_0", "ABE")</f>
        <v>8.01</v>
      </c>
      <c r="AR61">
        <f>RTD("rtdtrading.rtdserver",, "ASAI3_B_0", "MAX")</f>
        <v>8.2799999999999994</v>
      </c>
      <c r="AS61">
        <f>RTD("rtdtrading.rtdserver",, "ASAI3_B_0", "MIN")</f>
        <v>7.94</v>
      </c>
      <c r="AT61">
        <f>RTD("rtdtrading.rtdserver",, "ASAI3_B_0", "FEC")</f>
        <v>8.0500000000000007</v>
      </c>
      <c r="AU61">
        <f>RTD("rtdtrading.rtdserver",, "ASAI3_B_0", "PEX")</f>
        <v>0</v>
      </c>
      <c r="AV61">
        <f>RTD("rtdtrading.rtdserver",, "ASAI3_B_0", "VAR")</f>
        <v>1.7391304347826158</v>
      </c>
      <c r="AW61">
        <f>RTD("rtdtrading.rtdserver",, "ASAI3_B_0", "VARPTS")</f>
        <v>0.14000000000000057</v>
      </c>
      <c r="AX61">
        <f>RTD("rtdtrading.rtdserver",, "ASAI3_B_0", "MED")</f>
        <v>8.1801144180386895</v>
      </c>
      <c r="AY61" t="s">
        <v>323</v>
      </c>
      <c r="AZ61">
        <f>RTD("rtdtrading.rtdserver",, "ASAI3_B_0", "NEG")</f>
        <v>20243</v>
      </c>
      <c r="BA61">
        <f>RTD("rtdtrading.rtdserver",, "ASAI3_B_0", "QUL")</f>
        <v>0</v>
      </c>
      <c r="BB61">
        <f>RTD("rtdtrading.rtdserver",, "ASAI3_B_0", "QTT")</f>
        <v>16107600</v>
      </c>
      <c r="BC61">
        <f>RTD("rtdtrading.rtdserver",, "ASAI3_B_0", "VOL")</f>
        <v>131762011</v>
      </c>
      <c r="BD61">
        <f>RTD("rtdtrading.rtdserver",, "ASAI3_B_0", "OCP")</f>
        <v>8.08</v>
      </c>
      <c r="BE61">
        <f>RTD("rtdtrading.rtdserver",, "ASAI3_B_0", "OVD")</f>
        <v>8.25</v>
      </c>
      <c r="BF61">
        <f>RTD("rtdtrading.rtdserver",, "ASAI3_B_0", "VOC")</f>
        <v>200</v>
      </c>
      <c r="BG61">
        <f>RTD("rtdtrading.rtdserver",, "ASAI3_B_0", "VOV")</f>
        <v>2500</v>
      </c>
      <c r="BH61">
        <f>RTD("rtdtrading.rtdserver",, "ASAI3_B_0", "AJU")</f>
        <v>0</v>
      </c>
      <c r="BI61">
        <f>RTD("rtdtrading.rtdserver",, "ASAI3_B_0", "AJA")</f>
        <v>0</v>
      </c>
      <c r="BJ61">
        <f>RTD("rtdtrading.rtdserver",, "ASAI3_B_0", "PRT")</f>
        <v>0</v>
      </c>
      <c r="BK61">
        <f>RTD("rtdtrading.rtdserver",, "ASAI3_B_0", "QTE")</f>
        <v>0</v>
      </c>
      <c r="BL61">
        <f>RTD("rtdtrading.rtdserver",, "ASAI3_B_0", "VPJ")</f>
        <v>131762011</v>
      </c>
      <c r="BM61">
        <f>RTD("rtdtrading.rtdserver",, "ASAI3_B_0", "SEM")</f>
        <v>-0.36496350364962721</v>
      </c>
      <c r="BN61">
        <f>RTD("rtdtrading.rtdserver",, "ASAI3_B_0", "MES")</f>
        <v>-13.880126182965286</v>
      </c>
      <c r="BO61">
        <f>RTD("rtdtrading.rtdserver",, "ASAI3_B_0", "3M")</f>
        <v>-17.272727272727263</v>
      </c>
      <c r="BP61">
        <f>RTD("rtdtrading.rtdserver",, "ASAI3_B_0", "6M")</f>
        <v>-1.1693154255511682</v>
      </c>
      <c r="BQ61">
        <f>RTD("rtdtrading.rtdserver",, "ASAI3_B_0", "12M")</f>
        <v>23.781455452278411</v>
      </c>
      <c r="BR61">
        <f>RTD("rtdtrading.rtdserver",, "ASAI3_B_0", "ANO")</f>
        <v>47.745927516100537</v>
      </c>
      <c r="BS61">
        <f>RTD("rtdtrading.rtdserver",, "ASAI3_B_0", "TRIM")</f>
        <v>-13.880126182965286</v>
      </c>
      <c r="BT61">
        <f>RTD("rtdtrading.rtdserver",, "ASAI3_B_0", "SEMES")</f>
        <v>-27.264653641207804</v>
      </c>
      <c r="BU61" t="str">
        <f>RTD("rtdtrading.rtdserver",, "ASAI3_B_0", "VEN")</f>
        <v>-</v>
      </c>
      <c r="BV61" t="str">
        <f>RTD("rtdtrading.rtdserver",, "ASAI3_B_0", "VAL")</f>
        <v>31/12/9999</v>
      </c>
      <c r="BW61">
        <f>RTD("rtdtrading.rtdserver",, "ASAI3_B_0", "CAB")</f>
        <v>0</v>
      </c>
      <c r="BX61" t="str">
        <f>RTD("rtdtrading.rtdserver",, "ASAI3_B_0", "EST")</f>
        <v>Pré-Fechamento</v>
      </c>
      <c r="BY61" t="str">
        <f>RTD("rtdtrading.rtdserver",, "ASAI3_B_0", "BLACK")</f>
        <v>-</v>
      </c>
      <c r="BZ61" t="str">
        <f>RTD("rtdtrading.rtdserver",, "ASAI3_B_0", "IMPVT")</f>
        <v>-</v>
      </c>
      <c r="CA61" t="str">
        <f>RTD("rtdtrading.rtdserver",, "ASAI3_B_0", "DELTA")</f>
        <v>-</v>
      </c>
      <c r="CB61" t="str">
        <f>RTD("rtdtrading.rtdserver",, "ASAI3_B_0", "GAMA")</f>
        <v>-</v>
      </c>
      <c r="CC61" t="str">
        <f>RTD("rtdtrading.rtdserver",, "ASAI3_B_0", "THETA")</f>
        <v>-</v>
      </c>
      <c r="CD61" t="str">
        <f>RTD("rtdtrading.rtdserver",, "ASAI3_B_0", "RHO")</f>
        <v>-</v>
      </c>
      <c r="CE61" t="str">
        <f>RTD("rtdtrading.rtdserver",, "ASAI3_B_0", "VEGA")</f>
        <v>-</v>
      </c>
      <c r="CF61" t="str">
        <f>RTD("rtdtrading.rtdserver",, "ASAI3_B_0", "VIA")</f>
        <v>-</v>
      </c>
      <c r="CG61" t="str">
        <f>RTD("rtdtrading.rtdserver",, "ASAI3_B_0", "VIB")</f>
        <v>-</v>
      </c>
      <c r="CH61" t="str">
        <f>RTD("rtdtrading.rtdserver",, "ASAI3_B_0", "DOBRAR")</f>
        <v>-</v>
      </c>
      <c r="CI61" t="str">
        <f>RTD("rtdtrading.rtdserver",, "ASAI3_B_0", "VIVH")</f>
        <v>-</v>
      </c>
      <c r="CJ61" t="str">
        <f>RTD("rtdtrading.rtdserver",, "ASAI3_B_0", "VINT")</f>
        <v>-</v>
      </c>
      <c r="CK61" t="str">
        <f>RTD("rtdtrading.rtdserver",, "ASAI3_B_0", "VEXT")</f>
        <v>-</v>
      </c>
    </row>
    <row r="62" spans="2:89" x14ac:dyDescent="0.25">
      <c r="B62" t="s">
        <v>26</v>
      </c>
      <c r="C62" t="s">
        <v>320</v>
      </c>
      <c r="D62" t="s">
        <v>423</v>
      </c>
      <c r="E62" s="76">
        <v>4410960450</v>
      </c>
      <c r="F62">
        <v>6.2229999999999999</v>
      </c>
      <c r="J62" s="3">
        <f>RTD("rtdtrading.rtdserver",, $B62&amp;"_B_0", J$4)</f>
        <v>30.23</v>
      </c>
      <c r="K62" s="3">
        <f>RTD("rtdtrading.rtdserver",, $B62&amp;"_B_0", K$4)</f>
        <v>30.020000000000003</v>
      </c>
      <c r="L62" s="3">
        <f>RTD("rtdtrading.rtdserver",, $B62&amp;"_B_0", L$4)</f>
        <v>0</v>
      </c>
      <c r="M62" s="3">
        <f t="shared" si="3"/>
        <v>30.020000000000003</v>
      </c>
      <c r="O62" s="33">
        <f t="shared" si="4"/>
        <v>8816.8387093565998</v>
      </c>
      <c r="P62" s="10">
        <f t="shared" si="13"/>
        <v>-6.9467416473700805E-3</v>
      </c>
      <c r="Q62">
        <v>5.7000000000000003E-5</v>
      </c>
      <c r="R62" s="17">
        <f t="shared" si="5"/>
        <v>-6.8897416473700807E-3</v>
      </c>
      <c r="S62">
        <v>57</v>
      </c>
      <c r="T62" s="10" t="str">
        <f t="shared" si="6"/>
        <v>FLRY3</v>
      </c>
      <c r="U62" s="10">
        <f t="shared" si="12"/>
        <v>-6.4384919093850362E-3</v>
      </c>
      <c r="V62" t="str">
        <f t="shared" si="7"/>
        <v/>
      </c>
      <c r="W62" s="10" t="str">
        <f t="shared" si="8"/>
        <v>SLCE3</v>
      </c>
      <c r="X62" s="10">
        <f t="shared" si="9"/>
        <v>2.6239105431309791E-3</v>
      </c>
      <c r="Y62" s="33">
        <f t="shared" si="10"/>
        <v>8816.8387093565998</v>
      </c>
      <c r="Z62" s="80">
        <f t="shared" si="11"/>
        <v>0</v>
      </c>
      <c r="AM62" t="s">
        <v>209</v>
      </c>
      <c r="AN62" t="str">
        <f>RTD("rtdtrading.rtdserver",, "CSAN3_B_0", "DAT")</f>
        <v>14/10/2025</v>
      </c>
      <c r="AO62" t="str">
        <f>RTD("rtdtrading.rtdserver",, "CSAN3_B_0", "HOR")</f>
        <v>17:07:00</v>
      </c>
      <c r="AP62">
        <f>RTD("rtdtrading.rtdserver",, "CSAN3_B_0", "ULT")</f>
        <v>5.88</v>
      </c>
      <c r="AQ62">
        <f>RTD("rtdtrading.rtdserver",, "CSAN3_B_0", "ABE")</f>
        <v>5.85</v>
      </c>
      <c r="AR62">
        <f>RTD("rtdtrading.rtdserver",, "CSAN3_B_0", "MAX")</f>
        <v>5.93</v>
      </c>
      <c r="AS62">
        <f>RTD("rtdtrading.rtdserver",, "CSAN3_B_0", "MIN")</f>
        <v>5.78</v>
      </c>
      <c r="AT62">
        <f>RTD("rtdtrading.rtdserver",, "CSAN3_B_0", "FEC")</f>
        <v>5.87</v>
      </c>
      <c r="AU62">
        <f>RTD("rtdtrading.rtdserver",, "CSAN3_B_0", "PEX")</f>
        <v>0</v>
      </c>
      <c r="AV62">
        <f>RTD("rtdtrading.rtdserver",, "CSAN3_B_0", "VAR")</f>
        <v>0.17035775127767949</v>
      </c>
      <c r="AW62">
        <f>RTD("rtdtrading.rtdserver",, "CSAN3_B_0", "VARPTS")</f>
        <v>9.9999999999997868E-3</v>
      </c>
      <c r="AX62">
        <f>RTD("rtdtrading.rtdserver",, "CSAN3_B_0", "MED")</f>
        <v>5.8706044415050993</v>
      </c>
      <c r="AY62" t="s">
        <v>326</v>
      </c>
      <c r="AZ62">
        <f>RTD("rtdtrading.rtdserver",, "CSAN3_B_0", "NEG")</f>
        <v>7650</v>
      </c>
      <c r="BA62">
        <f>RTD("rtdtrading.rtdserver",, "CSAN3_B_0", "QUL")</f>
        <v>0</v>
      </c>
      <c r="BB62">
        <f>RTD("rtdtrading.rtdserver",, "CSAN3_B_0", "QTT")</f>
        <v>11491600</v>
      </c>
      <c r="BC62">
        <f>RTD("rtdtrading.rtdserver",, "CSAN3_B_0", "VOL")</f>
        <v>67462638</v>
      </c>
      <c r="BD62">
        <f>RTD("rtdtrading.rtdserver",, "CSAN3_B_0", "OCP")</f>
        <v>5.84</v>
      </c>
      <c r="BE62">
        <f>RTD("rtdtrading.rtdserver",, "CSAN3_B_0", "OVD")</f>
        <v>5.94</v>
      </c>
      <c r="BF62">
        <f>RTD("rtdtrading.rtdserver",, "CSAN3_B_0", "VOC")</f>
        <v>3100</v>
      </c>
      <c r="BG62">
        <f>RTD("rtdtrading.rtdserver",, "CSAN3_B_0", "VOV")</f>
        <v>100</v>
      </c>
      <c r="BH62">
        <f>RTD("rtdtrading.rtdserver",, "CSAN3_B_0", "AJU")</f>
        <v>0</v>
      </c>
      <c r="BI62">
        <f>RTD("rtdtrading.rtdserver",, "CSAN3_B_0", "AJA")</f>
        <v>0</v>
      </c>
      <c r="BJ62">
        <f>RTD("rtdtrading.rtdserver",, "CSAN3_B_0", "PRT")</f>
        <v>0</v>
      </c>
      <c r="BK62">
        <f>RTD("rtdtrading.rtdserver",, "CSAN3_B_0", "QTE")</f>
        <v>0</v>
      </c>
      <c r="BL62">
        <f>RTD("rtdtrading.rtdserver",, "CSAN3_B_0", "VPJ")</f>
        <v>67462638</v>
      </c>
      <c r="BM62">
        <f>RTD("rtdtrading.rtdserver",, "CSAN3_B_0", "SEM")</f>
        <v>0.17035775127767949</v>
      </c>
      <c r="BN62">
        <f>RTD("rtdtrading.rtdserver",, "CSAN3_B_0", "MES")</f>
        <v>-4.7001620745542958</v>
      </c>
      <c r="BO62">
        <f>RTD("rtdtrading.rtdserver",, "CSAN3_B_0", "3M")</f>
        <v>-6.3694267515923624</v>
      </c>
      <c r="BP62">
        <f>RTD("rtdtrading.rtdserver",, "CSAN3_B_0", "6M")</f>
        <v>-16.47727272727273</v>
      </c>
      <c r="BQ62">
        <f>RTD("rtdtrading.rtdserver",, "CSAN3_B_0", "12M")</f>
        <v>-51.404958677685954</v>
      </c>
      <c r="BR62">
        <f>RTD("rtdtrading.rtdserver",, "CSAN3_B_0", "ANO")</f>
        <v>-27.941176470588236</v>
      </c>
      <c r="BS62">
        <f>RTD("rtdtrading.rtdserver",, "CSAN3_B_0", "TRIM")</f>
        <v>-4.7001620745542958</v>
      </c>
      <c r="BT62">
        <f>RTD("rtdtrading.rtdserver",, "CSAN3_B_0", "SEMES")</f>
        <v>-14.28571428571429</v>
      </c>
      <c r="BU62" t="str">
        <f>RTD("rtdtrading.rtdserver",, "CSAN3_B_0", "VEN")</f>
        <v>-</v>
      </c>
      <c r="BV62" t="str">
        <f>RTD("rtdtrading.rtdserver",, "CSAN3_B_0", "VAL")</f>
        <v>31/12/9999</v>
      </c>
      <c r="BW62">
        <f>RTD("rtdtrading.rtdserver",, "CSAN3_B_0", "CAB")</f>
        <v>0</v>
      </c>
      <c r="BX62" t="str">
        <f>RTD("rtdtrading.rtdserver",, "CSAN3_B_0", "EST")</f>
        <v>Pré-Fechamento</v>
      </c>
      <c r="BY62" t="str">
        <f>RTD("rtdtrading.rtdserver",, "CSAN3_B_0", "BLACK")</f>
        <v>-</v>
      </c>
      <c r="BZ62" t="str">
        <f>RTD("rtdtrading.rtdserver",, "CSAN3_B_0", "IMPVT")</f>
        <v>-</v>
      </c>
      <c r="CA62" t="str">
        <f>RTD("rtdtrading.rtdserver",, "CSAN3_B_0", "DELTA")</f>
        <v>-</v>
      </c>
      <c r="CB62" t="str">
        <f>RTD("rtdtrading.rtdserver",, "CSAN3_B_0", "GAMA")</f>
        <v>-</v>
      </c>
      <c r="CC62" t="str">
        <f>RTD("rtdtrading.rtdserver",, "CSAN3_B_0", "THETA")</f>
        <v>-</v>
      </c>
      <c r="CD62" t="str">
        <f>RTD("rtdtrading.rtdserver",, "CSAN3_B_0", "RHO")</f>
        <v>-</v>
      </c>
      <c r="CE62" t="str">
        <f>RTD("rtdtrading.rtdserver",, "CSAN3_B_0", "VEGA")</f>
        <v>-</v>
      </c>
      <c r="CF62" t="str">
        <f>RTD("rtdtrading.rtdserver",, "CSAN3_B_0", "VIA")</f>
        <v>-</v>
      </c>
      <c r="CG62" t="str">
        <f>RTD("rtdtrading.rtdserver",, "CSAN3_B_0", "VIB")</f>
        <v>-</v>
      </c>
      <c r="CH62" t="str">
        <f>RTD("rtdtrading.rtdserver",, "CSAN3_B_0", "DOBRAR")</f>
        <v>-</v>
      </c>
      <c r="CI62" t="str">
        <f>RTD("rtdtrading.rtdserver",, "CSAN3_B_0", "VIVH")</f>
        <v>-</v>
      </c>
      <c r="CJ62" t="str">
        <f>RTD("rtdtrading.rtdserver",, "CSAN3_B_0", "VINT")</f>
        <v>-</v>
      </c>
      <c r="CK62" t="str">
        <f>RTD("rtdtrading.rtdserver",, "CSAN3_B_0", "VEXT")</f>
        <v>-</v>
      </c>
    </row>
    <row r="63" spans="2:89" x14ac:dyDescent="0.25">
      <c r="B63" t="s">
        <v>324</v>
      </c>
      <c r="C63" t="s">
        <v>325</v>
      </c>
      <c r="D63" t="s">
        <v>142</v>
      </c>
      <c r="E63" s="76">
        <v>274720419</v>
      </c>
      <c r="F63">
        <v>0.155</v>
      </c>
      <c r="J63" s="3">
        <f>RTD("rtdtrading.rtdserver",, $B63&amp;"_B_0", J$4)</f>
        <v>12.16</v>
      </c>
      <c r="K63" s="3">
        <f>RTD("rtdtrading.rtdserver",, $B63&amp;"_B_0", K$4)</f>
        <v>12.01</v>
      </c>
      <c r="L63" s="3">
        <f>RTD("rtdtrading.rtdserver",, $B63&amp;"_B_0", L$4)</f>
        <v>0</v>
      </c>
      <c r="M63" s="3">
        <f t="shared" si="3"/>
        <v>12.01</v>
      </c>
      <c r="O63" s="33">
        <f t="shared" si="4"/>
        <v>219.68630889088101</v>
      </c>
      <c r="P63" s="10">
        <f t="shared" si="13"/>
        <v>-1.2335526315789491E-2</v>
      </c>
      <c r="Q63">
        <v>5.8E-5</v>
      </c>
      <c r="R63" s="17">
        <f t="shared" si="5"/>
        <v>-1.227752631578949E-2</v>
      </c>
      <c r="S63">
        <v>58</v>
      </c>
      <c r="T63" s="10" t="str">
        <f t="shared" si="6"/>
        <v>PETR4</v>
      </c>
      <c r="U63" s="10">
        <f t="shared" si="12"/>
        <v>-6.8897416473700807E-3</v>
      </c>
      <c r="V63" t="str">
        <f t="shared" si="7"/>
        <v/>
      </c>
      <c r="W63" s="10" t="str">
        <f t="shared" si="8"/>
        <v>MRVE3</v>
      </c>
      <c r="X63" s="10">
        <f t="shared" si="9"/>
        <v>3.267434083601254E-3</v>
      </c>
      <c r="Y63" s="33">
        <f t="shared" si="10"/>
        <v>219.68630889088101</v>
      </c>
      <c r="Z63" s="80">
        <f t="shared" si="11"/>
        <v>0</v>
      </c>
      <c r="AM63" t="s">
        <v>328</v>
      </c>
      <c r="AN63" t="str">
        <f>RTD("rtdtrading.rtdserver",, "CRFB3_B_0", "DAT")</f>
        <v>30/12/1899</v>
      </c>
      <c r="AO63" t="str">
        <f>RTD("rtdtrading.rtdserver",, "CRFB3_B_0", "HOR")</f>
        <v>00:00:00</v>
      </c>
      <c r="AP63">
        <f>RTD("rtdtrading.rtdserver",, "CRFB3_B_0", "ULT")</f>
        <v>0</v>
      </c>
      <c r="AQ63">
        <f>RTD("rtdtrading.rtdserver",, "CRFB3_B_0", "ABE")</f>
        <v>0</v>
      </c>
      <c r="AR63">
        <f>RTD("rtdtrading.rtdserver",, "CRFB3_B_0", "MAX")</f>
        <v>0</v>
      </c>
      <c r="AS63">
        <f>RTD("rtdtrading.rtdserver",, "CRFB3_B_0", "MIN")</f>
        <v>0</v>
      </c>
      <c r="AT63">
        <f>RTD("rtdtrading.rtdserver",, "CRFB3_B_0", "FEC")</f>
        <v>0</v>
      </c>
      <c r="AU63">
        <f>RTD("rtdtrading.rtdserver",, "CRFB3_B_0", "PEX")</f>
        <v>0</v>
      </c>
      <c r="AV63">
        <f>RTD("rtdtrading.rtdserver",, "CRFB3_B_0", "VAR")</f>
        <v>0</v>
      </c>
      <c r="AW63">
        <f>RTD("rtdtrading.rtdserver",, "CRFB3_B_0", "VARPTS")</f>
        <v>0</v>
      </c>
      <c r="AX63">
        <f>RTD("rtdtrading.rtdserver",, "CRFB3_B_0", "MED")</f>
        <v>0</v>
      </c>
      <c r="AY63" t="s">
        <v>329</v>
      </c>
      <c r="AZ63">
        <f>RTD("rtdtrading.rtdserver",, "CRFB3_B_0", "NEG")</f>
        <v>0</v>
      </c>
      <c r="BA63">
        <f>RTD("rtdtrading.rtdserver",, "CRFB3_B_0", "QUL")</f>
        <v>0</v>
      </c>
      <c r="BB63">
        <f>RTD("rtdtrading.rtdserver",, "CRFB3_B_0", "QTT")</f>
        <v>0</v>
      </c>
      <c r="BC63">
        <f>RTD("rtdtrading.rtdserver",, "CRFB3_B_0", "VOL")</f>
        <v>0</v>
      </c>
      <c r="BD63">
        <f>RTD("rtdtrading.rtdserver",, "CRFB3_B_0", "OCP")</f>
        <v>0</v>
      </c>
      <c r="BE63">
        <f>RTD("rtdtrading.rtdserver",, "CRFB3_B_0", "OVD")</f>
        <v>0</v>
      </c>
      <c r="BF63">
        <f>RTD("rtdtrading.rtdserver",, "CRFB3_B_0", "VOC")</f>
        <v>0</v>
      </c>
      <c r="BG63">
        <f>RTD("rtdtrading.rtdserver",, "CRFB3_B_0", "VOV")</f>
        <v>0</v>
      </c>
      <c r="BH63">
        <f>RTD("rtdtrading.rtdserver",, "CRFB3_B_0", "AJU")</f>
        <v>0</v>
      </c>
      <c r="BI63">
        <f>RTD("rtdtrading.rtdserver",, "CRFB3_B_0", "AJA")</f>
        <v>0</v>
      </c>
      <c r="BJ63">
        <f>RTD("rtdtrading.rtdserver",, "CRFB3_B_0", "PRT")</f>
        <v>0</v>
      </c>
      <c r="BK63">
        <f>RTD("rtdtrading.rtdserver",, "CRFB3_B_0", "QTE")</f>
        <v>0</v>
      </c>
      <c r="BL63">
        <f>RTD("rtdtrading.rtdserver",, "CRFB3_B_0", "VPJ")</f>
        <v>0</v>
      </c>
      <c r="BM63">
        <f>RTD("rtdtrading.rtdserver",, "CRFB3_B_0", "SEM")</f>
        <v>0</v>
      </c>
      <c r="BN63">
        <f>RTD("rtdtrading.rtdserver",, "CRFB3_B_0", "MES")</f>
        <v>0</v>
      </c>
      <c r="BO63">
        <f>RTD("rtdtrading.rtdserver",, "CRFB3_B_0", "3M")</f>
        <v>0</v>
      </c>
      <c r="BP63">
        <f>RTD("rtdtrading.rtdserver",, "CRFB3_B_0", "6M")</f>
        <v>0</v>
      </c>
      <c r="BQ63">
        <f>RTD("rtdtrading.rtdserver",, "CRFB3_B_0", "12M")</f>
        <v>0</v>
      </c>
      <c r="BR63">
        <f>RTD("rtdtrading.rtdserver",, "CRFB3_B_0", "ANO")</f>
        <v>0</v>
      </c>
      <c r="BS63">
        <f>RTD("rtdtrading.rtdserver",, "CRFB3_B_0", "TRIM")</f>
        <v>0</v>
      </c>
      <c r="BT63">
        <f>RTD("rtdtrading.rtdserver",, "CRFB3_B_0", "SEMES")</f>
        <v>0</v>
      </c>
      <c r="BU63" t="str">
        <f>RTD("rtdtrading.rtdserver",, "CRFB3_B_0", "VEN")</f>
        <v>-</v>
      </c>
      <c r="BV63" t="str">
        <f>RTD("rtdtrading.rtdserver",, "CRFB3_B_0", "VAL")</f>
        <v>31/12/9999</v>
      </c>
      <c r="BW63">
        <f>RTD("rtdtrading.rtdserver",, "CRFB3_B_0", "CAB")</f>
        <v>0</v>
      </c>
      <c r="BX63" t="str">
        <f>RTD("rtdtrading.rtdserver",, "CRFB3_B_0", "EST")</f>
        <v>NONE</v>
      </c>
      <c r="BY63" t="str">
        <f>RTD("rtdtrading.rtdserver",, "CRFB3_B_0", "BLACK")</f>
        <v>-</v>
      </c>
      <c r="BZ63" t="str">
        <f>RTD("rtdtrading.rtdserver",, "CRFB3_B_0", "IMPVT")</f>
        <v>-</v>
      </c>
      <c r="CA63" t="str">
        <f>RTD("rtdtrading.rtdserver",, "CRFB3_B_0", "DELTA")</f>
        <v>-</v>
      </c>
      <c r="CB63" t="str">
        <f>RTD("rtdtrading.rtdserver",, "CRFB3_B_0", "GAMA")</f>
        <v>-</v>
      </c>
      <c r="CC63" t="str">
        <f>RTD("rtdtrading.rtdserver",, "CRFB3_B_0", "THETA")</f>
        <v>-</v>
      </c>
      <c r="CD63" t="str">
        <f>RTD("rtdtrading.rtdserver",, "CRFB3_B_0", "RHO")</f>
        <v>-</v>
      </c>
      <c r="CE63" t="str">
        <f>RTD("rtdtrading.rtdserver",, "CRFB3_B_0", "VEGA")</f>
        <v>-</v>
      </c>
      <c r="CF63" t="str">
        <f>RTD("rtdtrading.rtdserver",, "CRFB3_B_0", "VIA")</f>
        <v>-</v>
      </c>
      <c r="CG63" t="str">
        <f>RTD("rtdtrading.rtdserver",, "CRFB3_B_0", "VIB")</f>
        <v>-</v>
      </c>
      <c r="CH63" t="str">
        <f>RTD("rtdtrading.rtdserver",, "CRFB3_B_0", "DOBRAR")</f>
        <v>-</v>
      </c>
      <c r="CI63" t="str">
        <f>RTD("rtdtrading.rtdserver",, "CRFB3_B_0", "VIVH")</f>
        <v>-</v>
      </c>
      <c r="CJ63" t="str">
        <f>RTD("rtdtrading.rtdserver",, "CRFB3_B_0", "VINT")</f>
        <v>-</v>
      </c>
      <c r="CK63" t="str">
        <f>RTD("rtdtrading.rtdserver",, "CRFB3_B_0", "VEXT")</f>
        <v>-</v>
      </c>
    </row>
    <row r="64" spans="2:89" x14ac:dyDescent="0.25">
      <c r="B64" t="s">
        <v>27</v>
      </c>
      <c r="C64" t="s">
        <v>327</v>
      </c>
      <c r="D64" t="s">
        <v>142</v>
      </c>
      <c r="E64" s="76">
        <v>762764253</v>
      </c>
      <c r="F64">
        <v>1.266</v>
      </c>
      <c r="J64" s="3">
        <f>RTD("rtdtrading.rtdserver",, $B64&amp;"_B_0", J$4)</f>
        <v>36.300000000000004</v>
      </c>
      <c r="K64" s="3">
        <f>RTD("rtdtrading.rtdserver",, $B64&amp;"_B_0", K$4)</f>
        <v>35.32</v>
      </c>
      <c r="L64" s="3">
        <f>RTD("rtdtrading.rtdserver",, $B64&amp;"_B_0", L$4)</f>
        <v>0</v>
      </c>
      <c r="M64" s="3">
        <f t="shared" si="3"/>
        <v>35.32</v>
      </c>
      <c r="O64" s="33">
        <f t="shared" si="4"/>
        <v>1793.8249941468405</v>
      </c>
      <c r="P64" s="10">
        <f t="shared" si="13"/>
        <v>-2.6997245179063434E-2</v>
      </c>
      <c r="Q64">
        <v>5.8999999999999998E-5</v>
      </c>
      <c r="R64" s="17">
        <f t="shared" si="5"/>
        <v>-2.6938245179063434E-2</v>
      </c>
      <c r="S64">
        <v>59</v>
      </c>
      <c r="T64" s="10" t="str">
        <f t="shared" si="6"/>
        <v>IGTI11</v>
      </c>
      <c r="U64" s="10">
        <f t="shared" si="12"/>
        <v>-7.3362711496745116E-3</v>
      </c>
      <c r="V64" t="str">
        <f t="shared" si="7"/>
        <v/>
      </c>
      <c r="W64" s="10" t="str">
        <f t="shared" si="8"/>
        <v>CURY3</v>
      </c>
      <c r="X64" s="10">
        <f t="shared" si="9"/>
        <v>3.2750325203253542E-3</v>
      </c>
      <c r="Y64" s="33">
        <f t="shared" si="10"/>
        <v>1793.8249941468405</v>
      </c>
      <c r="Z64" s="80">
        <f t="shared" si="11"/>
        <v>0</v>
      </c>
      <c r="AM64" t="s">
        <v>332</v>
      </c>
      <c r="AN64" t="str">
        <f>RTD("rtdtrading.rtdserver",, "JBSS3_B_0", "DAT")</f>
        <v>30/12/1899</v>
      </c>
      <c r="AO64" t="str">
        <f>RTD("rtdtrading.rtdserver",, "JBSS3_B_0", "HOR")</f>
        <v>00:00:00</v>
      </c>
      <c r="AP64">
        <f>RTD("rtdtrading.rtdserver",, "JBSS3_B_0", "ULT")</f>
        <v>0</v>
      </c>
      <c r="AQ64">
        <f>RTD("rtdtrading.rtdserver",, "JBSS3_B_0", "ABE")</f>
        <v>0</v>
      </c>
      <c r="AR64">
        <f>RTD("rtdtrading.rtdserver",, "JBSS3_B_0", "MAX")</f>
        <v>0</v>
      </c>
      <c r="AS64">
        <f>RTD("rtdtrading.rtdserver",, "JBSS3_B_0", "MIN")</f>
        <v>0</v>
      </c>
      <c r="AT64">
        <f>RTD("rtdtrading.rtdserver",, "JBSS3_B_0", "FEC")</f>
        <v>0</v>
      </c>
      <c r="AU64">
        <f>RTD("rtdtrading.rtdserver",, "JBSS3_B_0", "PEX")</f>
        <v>0</v>
      </c>
      <c r="AV64">
        <f>RTD("rtdtrading.rtdserver",, "JBSS3_B_0", "VAR")</f>
        <v>0</v>
      </c>
      <c r="AW64">
        <f>RTD("rtdtrading.rtdserver",, "JBSS3_B_0", "VARPTS")</f>
        <v>0</v>
      </c>
      <c r="AX64">
        <f>RTD("rtdtrading.rtdserver",, "JBSS3_B_0", "MED")</f>
        <v>0</v>
      </c>
      <c r="AY64" t="s">
        <v>333</v>
      </c>
      <c r="AZ64">
        <f>RTD("rtdtrading.rtdserver",, "JBSS3_B_0", "NEG")</f>
        <v>0</v>
      </c>
      <c r="BA64">
        <f>RTD("rtdtrading.rtdserver",, "JBSS3_B_0", "QUL")</f>
        <v>0</v>
      </c>
      <c r="BB64">
        <f>RTD("rtdtrading.rtdserver",, "JBSS3_B_0", "QTT")</f>
        <v>0</v>
      </c>
      <c r="BC64">
        <f>RTD("rtdtrading.rtdserver",, "JBSS3_B_0", "VOL")</f>
        <v>0</v>
      </c>
      <c r="BD64">
        <f>RTD("rtdtrading.rtdserver",, "JBSS3_B_0", "OCP")</f>
        <v>0</v>
      </c>
      <c r="BE64">
        <f>RTD("rtdtrading.rtdserver",, "JBSS3_B_0", "OVD")</f>
        <v>0</v>
      </c>
      <c r="BF64">
        <f>RTD("rtdtrading.rtdserver",, "JBSS3_B_0", "VOC")</f>
        <v>0</v>
      </c>
      <c r="BG64">
        <f>RTD("rtdtrading.rtdserver",, "JBSS3_B_0", "VOV")</f>
        <v>0</v>
      </c>
      <c r="BH64">
        <f>RTD("rtdtrading.rtdserver",, "JBSS3_B_0", "AJU")</f>
        <v>0</v>
      </c>
      <c r="BI64">
        <f>RTD("rtdtrading.rtdserver",, "JBSS3_B_0", "AJA")</f>
        <v>0</v>
      </c>
      <c r="BJ64">
        <f>RTD("rtdtrading.rtdserver",, "JBSS3_B_0", "PRT")</f>
        <v>0</v>
      </c>
      <c r="BK64">
        <f>RTD("rtdtrading.rtdserver",, "JBSS3_B_0", "QTE")</f>
        <v>0</v>
      </c>
      <c r="BL64">
        <f>RTD("rtdtrading.rtdserver",, "JBSS3_B_0", "VPJ")</f>
        <v>0</v>
      </c>
      <c r="BM64">
        <f>RTD("rtdtrading.rtdserver",, "JBSS3_B_0", "SEM")</f>
        <v>0</v>
      </c>
      <c r="BN64">
        <f>RTD("rtdtrading.rtdserver",, "JBSS3_B_0", "MES")</f>
        <v>0</v>
      </c>
      <c r="BO64">
        <f>RTD("rtdtrading.rtdserver",, "JBSS3_B_0", "3M")</f>
        <v>0</v>
      </c>
      <c r="BP64">
        <f>RTD("rtdtrading.rtdserver",, "JBSS3_B_0", "6M")</f>
        <v>0</v>
      </c>
      <c r="BQ64">
        <f>RTD("rtdtrading.rtdserver",, "JBSS3_B_0", "12M")</f>
        <v>0</v>
      </c>
      <c r="BR64">
        <f>RTD("rtdtrading.rtdserver",, "JBSS3_B_0", "ANO")</f>
        <v>0</v>
      </c>
      <c r="BS64">
        <f>RTD("rtdtrading.rtdserver",, "JBSS3_B_0", "TRIM")</f>
        <v>0</v>
      </c>
      <c r="BT64">
        <f>RTD("rtdtrading.rtdserver",, "JBSS3_B_0", "SEMES")</f>
        <v>0</v>
      </c>
      <c r="BU64" t="str">
        <f>RTD("rtdtrading.rtdserver",, "JBSS3_B_0", "VEN")</f>
        <v>-</v>
      </c>
      <c r="BV64" t="str">
        <f>RTD("rtdtrading.rtdserver",, "JBSS3_B_0", "VAL")</f>
        <v>31/12/9999</v>
      </c>
      <c r="BW64">
        <f>RTD("rtdtrading.rtdserver",, "JBSS3_B_0", "CAB")</f>
        <v>0</v>
      </c>
      <c r="BX64" t="str">
        <f>RTD("rtdtrading.rtdserver",, "JBSS3_B_0", "EST")</f>
        <v>NONE</v>
      </c>
      <c r="BY64" t="str">
        <f>RTD("rtdtrading.rtdserver",, "JBSS3_B_0", "BLACK")</f>
        <v>-</v>
      </c>
      <c r="BZ64" t="str">
        <f>RTD("rtdtrading.rtdserver",, "JBSS3_B_0", "IMPVT")</f>
        <v>-</v>
      </c>
      <c r="CA64" t="str">
        <f>RTD("rtdtrading.rtdserver",, "JBSS3_B_0", "DELTA")</f>
        <v>-</v>
      </c>
      <c r="CB64" t="str">
        <f>RTD("rtdtrading.rtdserver",, "JBSS3_B_0", "GAMA")</f>
        <v>-</v>
      </c>
      <c r="CC64" t="str">
        <f>RTD("rtdtrading.rtdserver",, "JBSS3_B_0", "THETA")</f>
        <v>-</v>
      </c>
      <c r="CD64" t="str">
        <f>RTD("rtdtrading.rtdserver",, "JBSS3_B_0", "RHO")</f>
        <v>-</v>
      </c>
      <c r="CE64" t="str">
        <f>RTD("rtdtrading.rtdserver",, "JBSS3_B_0", "VEGA")</f>
        <v>-</v>
      </c>
      <c r="CF64" t="str">
        <f>RTD("rtdtrading.rtdserver",, "JBSS3_B_0", "VIA")</f>
        <v>-</v>
      </c>
      <c r="CG64" t="str">
        <f>RTD("rtdtrading.rtdserver",, "JBSS3_B_0", "VIB")</f>
        <v>-</v>
      </c>
      <c r="CH64" t="str">
        <f>RTD("rtdtrading.rtdserver",, "JBSS3_B_0", "DOBRAR")</f>
        <v>-</v>
      </c>
      <c r="CI64" t="str">
        <f>RTD("rtdtrading.rtdserver",, "JBSS3_B_0", "VIVH")</f>
        <v>-</v>
      </c>
      <c r="CJ64" t="str">
        <f>RTD("rtdtrading.rtdserver",, "JBSS3_B_0", "VINT")</f>
        <v>-</v>
      </c>
      <c r="CK64" t="str">
        <f>RTD("rtdtrading.rtdserver",, "JBSS3_B_0", "VEXT")</f>
        <v>-</v>
      </c>
    </row>
    <row r="65" spans="2:89" x14ac:dyDescent="0.25">
      <c r="B65" t="s">
        <v>334</v>
      </c>
      <c r="C65" t="s">
        <v>335</v>
      </c>
      <c r="D65" t="s">
        <v>142</v>
      </c>
      <c r="E65" s="76">
        <v>181016454</v>
      </c>
      <c r="F65">
        <v>0.39700000000000002</v>
      </c>
      <c r="J65" s="3">
        <f>RTD("rtdtrading.rtdserver",, $B65&amp;"_B_0", J$4)</f>
        <v>46.67</v>
      </c>
      <c r="K65" s="3">
        <f>RTD("rtdtrading.rtdserver",, $B65&amp;"_B_0", K$4)</f>
        <v>46.61</v>
      </c>
      <c r="L65" s="3">
        <f>RTD("rtdtrading.rtdserver",, $B65&amp;"_B_0", L$4)</f>
        <v>0</v>
      </c>
      <c r="M65" s="3">
        <f t="shared" si="3"/>
        <v>46.61</v>
      </c>
      <c r="O65" s="33">
        <f t="shared" si="4"/>
        <v>561.77990514038981</v>
      </c>
      <c r="P65" s="10">
        <f t="shared" si="13"/>
        <v>-1.2856224555389817E-3</v>
      </c>
      <c r="Q65">
        <v>6.0000000000000002E-5</v>
      </c>
      <c r="R65" s="17">
        <f t="shared" si="5"/>
        <v>-1.2256224555389817E-3</v>
      </c>
      <c r="S65">
        <v>60</v>
      </c>
      <c r="T65" s="10" t="str">
        <f t="shared" si="6"/>
        <v>RENT3</v>
      </c>
      <c r="U65" s="10">
        <f t="shared" si="12"/>
        <v>-7.4259463198671112E-3</v>
      </c>
      <c r="V65" t="str">
        <f t="shared" si="7"/>
        <v/>
      </c>
      <c r="W65" s="10" t="str">
        <f t="shared" si="8"/>
        <v>TIMS3</v>
      </c>
      <c r="X65" s="10">
        <f t="shared" si="9"/>
        <v>3.6175281346921932E-3</v>
      </c>
      <c r="Y65" s="33">
        <f t="shared" si="10"/>
        <v>561.77990514038981</v>
      </c>
      <c r="Z65" s="80">
        <f t="shared" si="11"/>
        <v>0</v>
      </c>
      <c r="AM65" t="s">
        <v>336</v>
      </c>
      <c r="AN65" t="str">
        <f>RTD("rtdtrading.rtdserver",, "RCSL3_B_0", "DAT")</f>
        <v>14/10/2025</v>
      </c>
      <c r="AO65" t="str">
        <f>RTD("rtdtrading.rtdserver",, "RCSL3_B_0", "HOR")</f>
        <v>17:05:00</v>
      </c>
      <c r="AP65">
        <f>RTD("rtdtrading.rtdserver",, "RCSL3_B_0", "ULT")</f>
        <v>1.47</v>
      </c>
      <c r="AQ65">
        <f>RTD("rtdtrading.rtdserver",, "RCSL3_B_0", "ABE")</f>
        <v>1.54</v>
      </c>
      <c r="AR65">
        <f>RTD("rtdtrading.rtdserver",, "RCSL3_B_0", "MAX")</f>
        <v>1.54</v>
      </c>
      <c r="AS65">
        <f>RTD("rtdtrading.rtdserver",, "RCSL3_B_0", "MIN")</f>
        <v>1.47</v>
      </c>
      <c r="AT65">
        <f>RTD("rtdtrading.rtdserver",, "RCSL3_B_0", "FEC")</f>
        <v>1.55</v>
      </c>
      <c r="AU65">
        <f>RTD("rtdtrading.rtdserver",, "RCSL3_B_0", "PEX")</f>
        <v>0</v>
      </c>
      <c r="AV65">
        <f>RTD("rtdtrading.rtdserver",, "RCSL3_B_0", "VAR")</f>
        <v>-5.1612903225806495</v>
      </c>
      <c r="AW65">
        <f>RTD("rtdtrading.rtdserver",, "RCSL3_B_0", "VARPTS")</f>
        <v>-8.0000000000000071E-2</v>
      </c>
      <c r="AX65">
        <f>RTD("rtdtrading.rtdserver",, "RCSL3_B_0", "MED")</f>
        <v>1.4929083665338645</v>
      </c>
      <c r="AY65" t="s">
        <v>337</v>
      </c>
      <c r="AZ65">
        <f>RTD("rtdtrading.rtdserver",, "RCSL3_B_0", "NEG")</f>
        <v>24</v>
      </c>
      <c r="BA65">
        <f>RTD("rtdtrading.rtdserver",, "RCSL3_B_0", "QUL")</f>
        <v>0</v>
      </c>
      <c r="BB65">
        <f>RTD("rtdtrading.rtdserver",, "RCSL3_B_0", "QTT")</f>
        <v>25100</v>
      </c>
      <c r="BC65">
        <f>RTD("rtdtrading.rtdserver",, "RCSL3_B_0", "VOL")</f>
        <v>37472</v>
      </c>
      <c r="BD65">
        <f>RTD("rtdtrading.rtdserver",, "RCSL3_B_0", "OCP")</f>
        <v>1.47</v>
      </c>
      <c r="BE65">
        <f>RTD("rtdtrading.rtdserver",, "RCSL3_B_0", "OVD")</f>
        <v>1.53</v>
      </c>
      <c r="BF65">
        <f>RTD("rtdtrading.rtdserver",, "RCSL3_B_0", "VOC")</f>
        <v>5000</v>
      </c>
      <c r="BG65">
        <f>RTD("rtdtrading.rtdserver",, "RCSL3_B_0", "VOV")</f>
        <v>4800</v>
      </c>
      <c r="BH65">
        <f>RTD("rtdtrading.rtdserver",, "RCSL3_B_0", "AJU")</f>
        <v>0</v>
      </c>
      <c r="BI65">
        <f>RTD("rtdtrading.rtdserver",, "RCSL3_B_0", "AJA")</f>
        <v>0</v>
      </c>
      <c r="BJ65">
        <f>RTD("rtdtrading.rtdserver",, "RCSL3_B_0", "PRT")</f>
        <v>0</v>
      </c>
      <c r="BK65">
        <f>RTD("rtdtrading.rtdserver",, "RCSL3_B_0", "QTE")</f>
        <v>0</v>
      </c>
      <c r="BL65">
        <f>RTD("rtdtrading.rtdserver",, "RCSL3_B_0", "VPJ")</f>
        <v>37472</v>
      </c>
      <c r="BM65">
        <f>RTD("rtdtrading.rtdserver",, "RCSL3_B_0", "SEM")</f>
        <v>-3.2894736842105288</v>
      </c>
      <c r="BN65">
        <f>RTD("rtdtrading.rtdserver",, "RCSL3_B_0", "MES")</f>
        <v>-5.7692307692307745</v>
      </c>
      <c r="BO65">
        <f>RTD("rtdtrading.rtdserver",, "RCSL3_B_0", "3M")</f>
        <v>-30.660377358490571</v>
      </c>
      <c r="BP65">
        <f>RTD("rtdtrading.rtdserver",, "RCSL3_B_0", "6M")</f>
        <v>-45.555555555555557</v>
      </c>
      <c r="BQ65">
        <f>RTD("rtdtrading.rtdserver",, "RCSL3_B_0", "12M")</f>
        <v>-67.549668874172198</v>
      </c>
      <c r="BR65">
        <f>RTD("rtdtrading.rtdserver",, "RCSL3_B_0", "ANO")</f>
        <v>-77.03125</v>
      </c>
      <c r="BS65">
        <f>RTD("rtdtrading.rtdserver",, "RCSL3_B_0", "TRIM")</f>
        <v>-5.7692307692307745</v>
      </c>
      <c r="BT65">
        <f>RTD("rtdtrading.rtdserver",, "RCSL3_B_0", "SEMES")</f>
        <v>-38.235294117647058</v>
      </c>
      <c r="BU65" t="str">
        <f>RTD("rtdtrading.rtdserver",, "RCSL3_B_0", "VEN")</f>
        <v>-</v>
      </c>
      <c r="BV65" t="str">
        <f>RTD("rtdtrading.rtdserver",, "RCSL3_B_0", "VAL")</f>
        <v>31/12/9999</v>
      </c>
      <c r="BW65">
        <f>RTD("rtdtrading.rtdserver",, "RCSL3_B_0", "CAB")</f>
        <v>0</v>
      </c>
      <c r="BX65" t="str">
        <f>RTD("rtdtrading.rtdserver",, "RCSL3_B_0", "EST")</f>
        <v>Pré-Fechamento</v>
      </c>
      <c r="BY65" t="str">
        <f>RTD("rtdtrading.rtdserver",, "RCSL3_B_0", "BLACK")</f>
        <v>-</v>
      </c>
      <c r="BZ65" t="str">
        <f>RTD("rtdtrading.rtdserver",, "RCSL3_B_0", "IMPVT")</f>
        <v>-</v>
      </c>
      <c r="CA65" t="str">
        <f>RTD("rtdtrading.rtdserver",, "RCSL3_B_0", "DELTA")</f>
        <v>-</v>
      </c>
      <c r="CB65" t="str">
        <f>RTD("rtdtrading.rtdserver",, "RCSL3_B_0", "GAMA")</f>
        <v>-</v>
      </c>
      <c r="CC65" t="str">
        <f>RTD("rtdtrading.rtdserver",, "RCSL3_B_0", "THETA")</f>
        <v>-</v>
      </c>
      <c r="CD65" t="str">
        <f>RTD("rtdtrading.rtdserver",, "RCSL3_B_0", "RHO")</f>
        <v>-</v>
      </c>
      <c r="CE65" t="str">
        <f>RTD("rtdtrading.rtdserver",, "RCSL3_B_0", "VEGA")</f>
        <v>-</v>
      </c>
      <c r="CF65" t="str">
        <f>RTD("rtdtrading.rtdserver",, "RCSL3_B_0", "VIA")</f>
        <v>-</v>
      </c>
      <c r="CG65" t="str">
        <f>RTD("rtdtrading.rtdserver",, "RCSL3_B_0", "VIB")</f>
        <v>-</v>
      </c>
      <c r="CH65" t="str">
        <f>RTD("rtdtrading.rtdserver",, "RCSL3_B_0", "DOBRAR")</f>
        <v>-</v>
      </c>
      <c r="CI65" t="str">
        <f>RTD("rtdtrading.rtdserver",, "RCSL3_B_0", "VIVH")</f>
        <v>-</v>
      </c>
      <c r="CJ65" t="str">
        <f>RTD("rtdtrading.rtdserver",, "RCSL3_B_0", "VINT")</f>
        <v>-</v>
      </c>
      <c r="CK65" t="str">
        <f>RTD("rtdtrading.rtdserver",, "RCSL3_B_0", "VEXT")</f>
        <v>-</v>
      </c>
    </row>
    <row r="66" spans="2:89" x14ac:dyDescent="0.25">
      <c r="B66" t="s">
        <v>338</v>
      </c>
      <c r="C66" t="s">
        <v>339</v>
      </c>
      <c r="D66" t="s">
        <v>442</v>
      </c>
      <c r="E66" s="76">
        <v>1285713898</v>
      </c>
      <c r="F66">
        <v>1.1319999999999999</v>
      </c>
      <c r="J66" s="3">
        <f>RTD("rtdtrading.rtdserver",, $B66&amp;"_B_0", J$4)</f>
        <v>18.650000000000002</v>
      </c>
      <c r="K66" s="3">
        <f>RTD("rtdtrading.rtdserver",, $B66&amp;"_B_0", K$4)</f>
        <v>18.740000000000002</v>
      </c>
      <c r="L66" s="3">
        <f>RTD("rtdtrading.rtdserver",, $B66&amp;"_B_0", L$4)</f>
        <v>0</v>
      </c>
      <c r="M66" s="3">
        <f t="shared" si="3"/>
        <v>18.740000000000002</v>
      </c>
      <c r="O66" s="33">
        <f t="shared" si="4"/>
        <v>1604.2903435676294</v>
      </c>
      <c r="P66" s="10">
        <f t="shared" si="13"/>
        <v>4.825737265415464E-3</v>
      </c>
      <c r="Q66">
        <v>6.0999999999999999E-5</v>
      </c>
      <c r="R66" s="17">
        <f t="shared" si="5"/>
        <v>4.8867372654154643E-3</v>
      </c>
      <c r="S66">
        <v>61</v>
      </c>
      <c r="T66" s="10" t="str">
        <f t="shared" si="6"/>
        <v>POMO4</v>
      </c>
      <c r="U66" s="10">
        <f t="shared" si="12"/>
        <v>-8.1487213114754195E-3</v>
      </c>
      <c r="V66" t="str">
        <f t="shared" si="7"/>
        <v/>
      </c>
      <c r="W66" s="10" t="str">
        <f t="shared" si="8"/>
        <v>CMIG4</v>
      </c>
      <c r="X66" s="10">
        <f t="shared" si="9"/>
        <v>3.7623183520599343E-3</v>
      </c>
      <c r="Y66" s="33">
        <f t="shared" si="10"/>
        <v>1604.2903435676294</v>
      </c>
      <c r="Z66" s="80">
        <f t="shared" si="11"/>
        <v>0</v>
      </c>
      <c r="AM66" t="s">
        <v>340</v>
      </c>
      <c r="AN66" t="str">
        <f>RTD("rtdtrading.rtdserver",, "SMTO3_B_0", "DAT")</f>
        <v>14/10/2025</v>
      </c>
      <c r="AO66" t="str">
        <f>RTD("rtdtrading.rtdserver",, "SMTO3_B_0", "HOR")</f>
        <v>17:07:34</v>
      </c>
      <c r="AP66">
        <f>RTD("rtdtrading.rtdserver",, "SMTO3_B_0", "ULT")</f>
        <v>15.450000000000001</v>
      </c>
      <c r="AQ66">
        <f>RTD("rtdtrading.rtdserver",, "SMTO3_B_0", "ABE")</f>
        <v>15.4</v>
      </c>
      <c r="AR66">
        <f>RTD("rtdtrading.rtdserver",, "SMTO3_B_0", "MAX")</f>
        <v>15.61</v>
      </c>
      <c r="AS66">
        <f>RTD("rtdtrading.rtdserver",, "SMTO3_B_0", "MIN")</f>
        <v>15.3</v>
      </c>
      <c r="AT66">
        <f>RTD("rtdtrading.rtdserver",, "SMTO3_B_0", "FEC")</f>
        <v>15.450000000000001</v>
      </c>
      <c r="AU66">
        <f>RTD("rtdtrading.rtdserver",, "SMTO3_B_0", "PEX")</f>
        <v>0</v>
      </c>
      <c r="AV66">
        <f>RTD("rtdtrading.rtdserver",, "SMTO3_B_0", "VAR")</f>
        <v>0</v>
      </c>
      <c r="AW66">
        <f>RTD("rtdtrading.rtdserver",, "SMTO3_B_0", "VARPTS")</f>
        <v>0</v>
      </c>
      <c r="AX66">
        <f>RTD("rtdtrading.rtdserver",, "SMTO3_B_0", "MED")</f>
        <v>15.444736542619779</v>
      </c>
      <c r="AY66" t="s">
        <v>341</v>
      </c>
      <c r="AZ66">
        <f>RTD("rtdtrading.rtdserver",, "SMTO3_B_0", "NEG")</f>
        <v>5058</v>
      </c>
      <c r="BA66">
        <f>RTD("rtdtrading.rtdserver",, "SMTO3_B_0", "QUL")</f>
        <v>0</v>
      </c>
      <c r="BB66">
        <f>RTD("rtdtrading.rtdserver",, "SMTO3_B_0", "QTT")</f>
        <v>1757400</v>
      </c>
      <c r="BC66">
        <f>RTD("rtdtrading.rtdserver",, "SMTO3_B_0", "VOL")</f>
        <v>27142580</v>
      </c>
      <c r="BD66">
        <f>RTD("rtdtrading.rtdserver",, "SMTO3_B_0", "OCP")</f>
        <v>15.36</v>
      </c>
      <c r="BE66">
        <f>RTD("rtdtrading.rtdserver",, "SMTO3_B_0", "OVD")</f>
        <v>15.55</v>
      </c>
      <c r="BF66">
        <f>RTD("rtdtrading.rtdserver",, "SMTO3_B_0", "VOC")</f>
        <v>100</v>
      </c>
      <c r="BG66">
        <f>RTD("rtdtrading.rtdserver",, "SMTO3_B_0", "VOV")</f>
        <v>1000</v>
      </c>
      <c r="BH66">
        <f>RTD("rtdtrading.rtdserver",, "SMTO3_B_0", "AJU")</f>
        <v>0</v>
      </c>
      <c r="BI66">
        <f>RTD("rtdtrading.rtdserver",, "SMTO3_B_0", "AJA")</f>
        <v>0</v>
      </c>
      <c r="BJ66">
        <f>RTD("rtdtrading.rtdserver",, "SMTO3_B_0", "PRT")</f>
        <v>0</v>
      </c>
      <c r="BK66">
        <f>RTD("rtdtrading.rtdserver",, "SMTO3_B_0", "QTE")</f>
        <v>0</v>
      </c>
      <c r="BL66">
        <f>RTD("rtdtrading.rtdserver",, "SMTO3_B_0", "VPJ")</f>
        <v>27142580</v>
      </c>
      <c r="BM66">
        <f>RTD("rtdtrading.rtdserver",, "SMTO3_B_0", "SEM")</f>
        <v>-0.64308681672025492</v>
      </c>
      <c r="BN66">
        <f>RTD("rtdtrading.rtdserver",, "SMTO3_B_0", "MES")</f>
        <v>-11.002304147465429</v>
      </c>
      <c r="BO66">
        <f>RTD("rtdtrading.rtdserver",, "SMTO3_B_0", "3M")</f>
        <v>-7.980392974347664</v>
      </c>
      <c r="BP66">
        <f>RTD("rtdtrading.rtdserver",, "SMTO3_B_0", "6M")</f>
        <v>-20.776137464938945</v>
      </c>
      <c r="BQ66">
        <f>RTD("rtdtrading.rtdserver",, "SMTO3_B_0", "12M")</f>
        <v>-39.332301917020715</v>
      </c>
      <c r="BR66">
        <f>RTD("rtdtrading.rtdserver",, "SMTO3_B_0", "ANO")</f>
        <v>-32.152330095381956</v>
      </c>
      <c r="BS66">
        <f>RTD("rtdtrading.rtdserver",, "SMTO3_B_0", "TRIM")</f>
        <v>-11.002304147465429</v>
      </c>
      <c r="BT66">
        <f>RTD("rtdtrading.rtdserver",, "SMTO3_B_0", "SEMES")</f>
        <v>-10.180162896558937</v>
      </c>
      <c r="BU66" t="str">
        <f>RTD("rtdtrading.rtdserver",, "SMTO3_B_0", "VEN")</f>
        <v>-</v>
      </c>
      <c r="BV66" t="str">
        <f>RTD("rtdtrading.rtdserver",, "SMTO3_B_0", "VAL")</f>
        <v>31/12/9999</v>
      </c>
      <c r="BW66">
        <f>RTD("rtdtrading.rtdserver",, "SMTO3_B_0", "CAB")</f>
        <v>0</v>
      </c>
      <c r="BX66" t="str">
        <f>RTD("rtdtrading.rtdserver",, "SMTO3_B_0", "EST")</f>
        <v>Pré-Fechamento</v>
      </c>
      <c r="BY66" t="str">
        <f>RTD("rtdtrading.rtdserver",, "SMTO3_B_0", "BLACK")</f>
        <v>-</v>
      </c>
      <c r="BZ66" t="str">
        <f>RTD("rtdtrading.rtdserver",, "SMTO3_B_0", "IMPVT")</f>
        <v>-</v>
      </c>
      <c r="CA66" t="str">
        <f>RTD("rtdtrading.rtdserver",, "SMTO3_B_0", "DELTA")</f>
        <v>-</v>
      </c>
      <c r="CB66" t="str">
        <f>RTD("rtdtrading.rtdserver",, "SMTO3_B_0", "GAMA")</f>
        <v>-</v>
      </c>
      <c r="CC66" t="str">
        <f>RTD("rtdtrading.rtdserver",, "SMTO3_B_0", "THETA")</f>
        <v>-</v>
      </c>
      <c r="CD66" t="str">
        <f>RTD("rtdtrading.rtdserver",, "SMTO3_B_0", "RHO")</f>
        <v>-</v>
      </c>
      <c r="CE66" t="str">
        <f>RTD("rtdtrading.rtdserver",, "SMTO3_B_0", "VEGA")</f>
        <v>-</v>
      </c>
      <c r="CF66" t="str">
        <f>RTD("rtdtrading.rtdserver",, "SMTO3_B_0", "VIA")</f>
        <v>-</v>
      </c>
      <c r="CG66" t="str">
        <f>RTD("rtdtrading.rtdserver",, "SMTO3_B_0", "VIB")</f>
        <v>-</v>
      </c>
      <c r="CH66" t="str">
        <f>RTD("rtdtrading.rtdserver",, "SMTO3_B_0", "DOBRAR")</f>
        <v>-</v>
      </c>
      <c r="CI66" t="str">
        <f>RTD("rtdtrading.rtdserver",, "SMTO3_B_0", "VIVH")</f>
        <v>-</v>
      </c>
      <c r="CJ66" t="str">
        <f>RTD("rtdtrading.rtdserver",, "SMTO3_B_0", "VINT")</f>
        <v>-</v>
      </c>
      <c r="CK66" t="str">
        <f>RTD("rtdtrading.rtdserver",, "SMTO3_B_0", "VEXT")</f>
        <v>-</v>
      </c>
    </row>
    <row r="67" spans="2:89" x14ac:dyDescent="0.25">
      <c r="B67" t="s">
        <v>342</v>
      </c>
      <c r="C67" t="s">
        <v>343</v>
      </c>
      <c r="D67" t="s">
        <v>423</v>
      </c>
      <c r="E67" s="76">
        <v>1226933170</v>
      </c>
      <c r="F67">
        <v>5.0999999999999997E-2</v>
      </c>
      <c r="J67" s="3">
        <f>RTD("rtdtrading.rtdserver",, $B67&amp;"_B_0", J$4)</f>
        <v>0.85000000000000009</v>
      </c>
      <c r="K67" s="3">
        <f>RTD("rtdtrading.rtdserver",, $B67&amp;"_B_0", K$4)</f>
        <v>0.88</v>
      </c>
      <c r="L67" s="3">
        <f>RTD("rtdtrading.rtdserver",, $B67&amp;"_B_0", L$4)</f>
        <v>0</v>
      </c>
      <c r="M67" s="3">
        <f t="shared" si="3"/>
        <v>0.88</v>
      </c>
      <c r="O67" s="33">
        <f t="shared" si="4"/>
        <v>71.890685422047156</v>
      </c>
      <c r="P67" s="10">
        <f t="shared" si="13"/>
        <v>3.5294117647058698E-2</v>
      </c>
      <c r="Q67">
        <v>6.2000000000000003E-5</v>
      </c>
      <c r="R67" s="17">
        <f t="shared" si="5"/>
        <v>3.5356117647058698E-2</v>
      </c>
      <c r="S67">
        <v>62</v>
      </c>
      <c r="T67" s="10" t="str">
        <f t="shared" si="6"/>
        <v>ELET6</v>
      </c>
      <c r="U67" s="10">
        <f t="shared" si="12"/>
        <v>-8.3341159789128982E-3</v>
      </c>
      <c r="V67" t="str">
        <f t="shared" si="7"/>
        <v/>
      </c>
      <c r="W67" s="10" t="str">
        <f t="shared" si="8"/>
        <v>SMFT3</v>
      </c>
      <c r="X67" s="10">
        <f t="shared" si="9"/>
        <v>4.1406612377849067E-3</v>
      </c>
      <c r="Y67" s="33">
        <f t="shared" si="10"/>
        <v>71.890685422047156</v>
      </c>
      <c r="Z67" s="80">
        <f t="shared" si="11"/>
        <v>0</v>
      </c>
      <c r="AM67" t="s">
        <v>299</v>
      </c>
      <c r="AN67" t="str">
        <f>RTD("rtdtrading.rtdserver",, "BEEF3_B_0", "DAT")</f>
        <v>14/10/2025</v>
      </c>
      <c r="AO67" t="str">
        <f>RTD("rtdtrading.rtdserver",, "BEEF3_B_0", "HOR")</f>
        <v>17:07:57</v>
      </c>
      <c r="AP67">
        <f>RTD("rtdtrading.rtdserver",, "BEEF3_B_0", "ULT")</f>
        <v>6.62</v>
      </c>
      <c r="AQ67">
        <f>RTD("rtdtrading.rtdserver",, "BEEF3_B_0", "ABE")</f>
        <v>6.45</v>
      </c>
      <c r="AR67">
        <f>RTD("rtdtrading.rtdserver",, "BEEF3_B_0", "MAX")</f>
        <v>6.66</v>
      </c>
      <c r="AS67">
        <f>RTD("rtdtrading.rtdserver",, "BEEF3_B_0", "MIN")</f>
        <v>6.39</v>
      </c>
      <c r="AT67">
        <f>RTD("rtdtrading.rtdserver",, "BEEF3_B_0", "FEC")</f>
        <v>6.46</v>
      </c>
      <c r="AU67">
        <f>RTD("rtdtrading.rtdserver",, "BEEF3_B_0", "PEX")</f>
        <v>0</v>
      </c>
      <c r="AV67">
        <f>RTD("rtdtrading.rtdserver",, "BEEF3_B_0", "VAR")</f>
        <v>2.4767801857585163</v>
      </c>
      <c r="AW67">
        <f>RTD("rtdtrading.rtdserver",, "BEEF3_B_0", "VARPTS")</f>
        <v>0.16000000000000014</v>
      </c>
      <c r="AX67">
        <f>RTD("rtdtrading.rtdserver",, "BEEF3_B_0", "MED")</f>
        <v>6.590736123542797</v>
      </c>
      <c r="AY67" t="s">
        <v>344</v>
      </c>
      <c r="AZ67">
        <f>RTD("rtdtrading.rtdserver",, "BEEF3_B_0", "NEG")</f>
        <v>9488</v>
      </c>
      <c r="BA67">
        <f>RTD("rtdtrading.rtdserver",, "BEEF3_B_0", "QUL")</f>
        <v>0</v>
      </c>
      <c r="BB67">
        <f>RTD("rtdtrading.rtdserver",, "BEEF3_B_0", "QTT")</f>
        <v>9272900</v>
      </c>
      <c r="BC67">
        <f>RTD("rtdtrading.rtdserver",, "BEEF3_B_0", "VOL")</f>
        <v>61115237</v>
      </c>
      <c r="BD67">
        <f>RTD("rtdtrading.rtdserver",, "BEEF3_B_0", "OCP")</f>
        <v>6.51</v>
      </c>
      <c r="BE67">
        <f>RTD("rtdtrading.rtdserver",, "BEEF3_B_0", "OVD")</f>
        <v>6.65</v>
      </c>
      <c r="BF67">
        <f>RTD("rtdtrading.rtdserver",, "BEEF3_B_0", "VOC")</f>
        <v>16200</v>
      </c>
      <c r="BG67">
        <f>RTD("rtdtrading.rtdserver",, "BEEF3_B_0", "VOV")</f>
        <v>900</v>
      </c>
      <c r="BH67">
        <f>RTD("rtdtrading.rtdserver",, "BEEF3_B_0", "AJU")</f>
        <v>0</v>
      </c>
      <c r="BI67">
        <f>RTD("rtdtrading.rtdserver",, "BEEF3_B_0", "AJA")</f>
        <v>0</v>
      </c>
      <c r="BJ67">
        <f>RTD("rtdtrading.rtdserver",, "BEEF3_B_0", "PRT")</f>
        <v>0</v>
      </c>
      <c r="BK67">
        <f>RTD("rtdtrading.rtdserver",, "BEEF3_B_0", "QTE")</f>
        <v>0</v>
      </c>
      <c r="BL67">
        <f>RTD("rtdtrading.rtdserver",, "BEEF3_B_0", "VPJ")</f>
        <v>61115237</v>
      </c>
      <c r="BM67">
        <f>RTD("rtdtrading.rtdserver",, "BEEF3_B_0", "SEM")</f>
        <v>1.3782542113323102</v>
      </c>
      <c r="BN67">
        <f>RTD("rtdtrading.rtdserver",, "BEEF3_B_0", "MES")</f>
        <v>-1.9259259259259243</v>
      </c>
      <c r="BO67">
        <f>RTD("rtdtrading.rtdserver",, "BEEF3_B_0", "3M")</f>
        <v>26.095238095238098</v>
      </c>
      <c r="BP67">
        <f>RTD("rtdtrading.rtdserver",, "BEEF3_B_0", "6M")</f>
        <v>17.430020931635145</v>
      </c>
      <c r="BQ67">
        <f>RTD("rtdtrading.rtdserver",, "BEEF3_B_0", "12M")</f>
        <v>47.741474736654162</v>
      </c>
      <c r="BR67">
        <f>RTD("rtdtrading.rtdserver",, "BEEF3_B_0", "ANO")</f>
        <v>60.804508356004646</v>
      </c>
      <c r="BS67">
        <f>RTD("rtdtrading.rtdserver",, "BEEF3_B_0", "TRIM")</f>
        <v>-1.9259259259259243</v>
      </c>
      <c r="BT67">
        <f>RTD("rtdtrading.rtdserver",, "BEEF3_B_0", "SEMES")</f>
        <v>35.102040816326522</v>
      </c>
      <c r="BU67" t="str">
        <f>RTD("rtdtrading.rtdserver",, "BEEF3_B_0", "VEN")</f>
        <v>-</v>
      </c>
      <c r="BV67" t="str">
        <f>RTD("rtdtrading.rtdserver",, "BEEF3_B_0", "VAL")</f>
        <v>31/12/9999</v>
      </c>
      <c r="BW67">
        <f>RTD("rtdtrading.rtdserver",, "BEEF3_B_0", "CAB")</f>
        <v>0</v>
      </c>
      <c r="BX67" t="str">
        <f>RTD("rtdtrading.rtdserver",, "BEEF3_B_0", "EST")</f>
        <v>Pré-Fechamento</v>
      </c>
      <c r="BY67" t="str">
        <f>RTD("rtdtrading.rtdserver",, "BEEF3_B_0", "BLACK")</f>
        <v>-</v>
      </c>
      <c r="BZ67" t="str">
        <f>RTD("rtdtrading.rtdserver",, "BEEF3_B_0", "IMPVT")</f>
        <v>-</v>
      </c>
      <c r="CA67" t="str">
        <f>RTD("rtdtrading.rtdserver",, "BEEF3_B_0", "DELTA")</f>
        <v>-</v>
      </c>
      <c r="CB67" t="str">
        <f>RTD("rtdtrading.rtdserver",, "BEEF3_B_0", "GAMA")</f>
        <v>-</v>
      </c>
      <c r="CC67" t="str">
        <f>RTD("rtdtrading.rtdserver",, "BEEF3_B_0", "THETA")</f>
        <v>-</v>
      </c>
      <c r="CD67" t="str">
        <f>RTD("rtdtrading.rtdserver",, "BEEF3_B_0", "RHO")</f>
        <v>-</v>
      </c>
      <c r="CE67" t="str">
        <f>RTD("rtdtrading.rtdserver",, "BEEF3_B_0", "VEGA")</f>
        <v>-</v>
      </c>
      <c r="CF67" t="str">
        <f>RTD("rtdtrading.rtdserver",, "BEEF3_B_0", "VIA")</f>
        <v>-</v>
      </c>
      <c r="CG67" t="str">
        <f>RTD("rtdtrading.rtdserver",, "BEEF3_B_0", "VIB")</f>
        <v>-</v>
      </c>
      <c r="CH67" t="str">
        <f>RTD("rtdtrading.rtdserver",, "BEEF3_B_0", "DOBRAR")</f>
        <v>-</v>
      </c>
      <c r="CI67" t="str">
        <f>RTD("rtdtrading.rtdserver",, "BEEF3_B_0", "VIVH")</f>
        <v>-</v>
      </c>
      <c r="CJ67" t="str">
        <f>RTD("rtdtrading.rtdserver",, "BEEF3_B_0", "VINT")</f>
        <v>-</v>
      </c>
      <c r="CK67" t="str">
        <f>RTD("rtdtrading.rtdserver",, "BEEF3_B_0", "VEXT")</f>
        <v>-</v>
      </c>
    </row>
    <row r="68" spans="2:89" x14ac:dyDescent="0.25">
      <c r="B68" t="s">
        <v>345</v>
      </c>
      <c r="C68" t="s">
        <v>346</v>
      </c>
      <c r="D68" t="s">
        <v>142</v>
      </c>
      <c r="E68" s="76">
        <v>1091469308</v>
      </c>
      <c r="F68">
        <v>2.0630000000000002</v>
      </c>
      <c r="J68" s="3">
        <f>RTD("rtdtrading.rtdserver",, $B68&amp;"_B_0", J$4)</f>
        <v>39.75</v>
      </c>
      <c r="K68" s="3">
        <f>RTD("rtdtrading.rtdserver",, $B68&amp;"_B_0", K$4)</f>
        <v>40.21</v>
      </c>
      <c r="L68" s="3">
        <f>RTD("rtdtrading.rtdserver",, $B68&amp;"_B_0", L$4)</f>
        <v>0</v>
      </c>
      <c r="M68" s="3">
        <f t="shared" si="3"/>
        <v>40.21</v>
      </c>
      <c r="O68" s="33">
        <f t="shared" si="4"/>
        <v>2922.2316852677868</v>
      </c>
      <c r="P68" s="10">
        <f t="shared" si="13"/>
        <v>1.157232704402511E-2</v>
      </c>
      <c r="Q68">
        <v>6.3E-5</v>
      </c>
      <c r="R68" s="17">
        <f t="shared" si="5"/>
        <v>1.1635327044025111E-2</v>
      </c>
      <c r="S68">
        <v>63</v>
      </c>
      <c r="T68" s="10" t="str">
        <f t="shared" si="6"/>
        <v>BBAS3</v>
      </c>
      <c r="U68" s="10">
        <f t="shared" si="12"/>
        <v>-8.609689655172597E-3</v>
      </c>
      <c r="V68" t="str">
        <f t="shared" si="7"/>
        <v/>
      </c>
      <c r="W68" s="10" t="str">
        <f t="shared" si="8"/>
        <v>ITUB4</v>
      </c>
      <c r="X68" s="10">
        <f t="shared" si="9"/>
        <v>4.3336945561813622E-3</v>
      </c>
      <c r="Y68" s="33">
        <f t="shared" si="10"/>
        <v>2922.2316852677868</v>
      </c>
      <c r="Z68" s="80">
        <f t="shared" si="11"/>
        <v>0</v>
      </c>
      <c r="AM68" t="s">
        <v>296</v>
      </c>
      <c r="AN68" t="str">
        <f>RTD("rtdtrading.rtdserver",, "MRFG3_B_0", "DAT")</f>
        <v>22/09/2025</v>
      </c>
      <c r="AO68" t="str">
        <f>RTD("rtdtrading.rtdserver",, "MRFG3_B_0", "HOR")</f>
        <v>18:01:15</v>
      </c>
      <c r="AP68">
        <f>RTD("rtdtrading.rtdserver",, "MRFG3_B_0", "ULT")</f>
        <v>21.12</v>
      </c>
      <c r="AQ68">
        <f>RTD("rtdtrading.rtdserver",, "MRFG3_B_0", "ABE")</f>
        <v>22.14</v>
      </c>
      <c r="AR68">
        <f>RTD("rtdtrading.rtdserver",, "MRFG3_B_0", "MAX")</f>
        <v>22.14</v>
      </c>
      <c r="AS68">
        <f>RTD("rtdtrading.rtdserver",, "MRFG3_B_0", "MIN")</f>
        <v>21.12</v>
      </c>
      <c r="AT68">
        <f>RTD("rtdtrading.rtdserver",, "MRFG3_B_0", "FEC")</f>
        <v>21.12</v>
      </c>
      <c r="AU68">
        <f>RTD("rtdtrading.rtdserver",, "MRFG3_B_0", "PEX")</f>
        <v>0</v>
      </c>
      <c r="AV68">
        <f>RTD("rtdtrading.rtdserver",, "MRFG3_B_0", "VAR")</f>
        <v>0</v>
      </c>
      <c r="AW68">
        <f>RTD("rtdtrading.rtdserver",, "MRFG3_B_0", "VARPTS")</f>
        <v>0</v>
      </c>
      <c r="AX68">
        <f>RTD("rtdtrading.rtdserver",, "MRFG3_B_0", "MED")</f>
        <v>21.317863649215791</v>
      </c>
      <c r="AY68" t="s">
        <v>347</v>
      </c>
      <c r="AZ68">
        <f>RTD("rtdtrading.rtdserver",, "MRFG3_B_0", "NEG")</f>
        <v>34710</v>
      </c>
      <c r="BA68">
        <f>RTD("rtdtrading.rtdserver",, "MRFG3_B_0", "QUL")</f>
        <v>0</v>
      </c>
      <c r="BB68">
        <f>RTD("rtdtrading.rtdserver",, "MRFG3_B_0", "QTT")</f>
        <v>18037300</v>
      </c>
      <c r="BC68">
        <f>RTD("rtdtrading.rtdserver",, "MRFG3_B_0", "VOL")</f>
        <v>384516702</v>
      </c>
      <c r="BD68">
        <f>RTD("rtdtrading.rtdserver",, "MRFG3_B_0", "OCP")</f>
        <v>0</v>
      </c>
      <c r="BE68">
        <f>RTD("rtdtrading.rtdserver",, "MRFG3_B_0", "OVD")</f>
        <v>0</v>
      </c>
      <c r="BF68">
        <f>RTD("rtdtrading.rtdserver",, "MRFG3_B_0", "VOC")</f>
        <v>0</v>
      </c>
      <c r="BG68">
        <f>RTD("rtdtrading.rtdserver",, "MRFG3_B_0", "VOV")</f>
        <v>0</v>
      </c>
      <c r="BH68">
        <f>RTD("rtdtrading.rtdserver",, "MRFG3_B_0", "AJU")</f>
        <v>0</v>
      </c>
      <c r="BI68">
        <f>RTD("rtdtrading.rtdserver",, "MRFG3_B_0", "AJA")</f>
        <v>0</v>
      </c>
      <c r="BJ68">
        <f>RTD("rtdtrading.rtdserver",, "MRFG3_B_0", "PRT")</f>
        <v>0</v>
      </c>
      <c r="BK68">
        <f>RTD("rtdtrading.rtdserver",, "MRFG3_B_0", "QTE")</f>
        <v>0</v>
      </c>
      <c r="BL68">
        <f>RTD("rtdtrading.rtdserver",, "MRFG3_B_0", "VPJ")</f>
        <v>384516702</v>
      </c>
      <c r="BM68">
        <f>RTD("rtdtrading.rtdserver",, "MRFG3_B_0", "SEM")</f>
        <v>0</v>
      </c>
      <c r="BN68">
        <f>RTD("rtdtrading.rtdserver",, "MRFG3_B_0", "MES")</f>
        <v>0</v>
      </c>
      <c r="BO68">
        <f>RTD("rtdtrading.rtdserver",, "MRFG3_B_0", "3M")</f>
        <v>2.6972618926055074</v>
      </c>
      <c r="BP68">
        <f>RTD("rtdtrading.rtdserver",, "MRFG3_B_0", "6M")</f>
        <v>17.164746281739056</v>
      </c>
      <c r="BQ68">
        <f>RTD("rtdtrading.rtdserver",, "MRFG3_B_0", "12M")</f>
        <v>117.03387043735611</v>
      </c>
      <c r="BR68">
        <f>RTD("rtdtrading.rtdserver",, "MRFG3_B_0", "ANO")</f>
        <v>38.698259047894233</v>
      </c>
      <c r="BS68">
        <f>RTD("rtdtrading.rtdserver",, "MRFG3_B_0", "TRIM")</f>
        <v>0</v>
      </c>
      <c r="BT68">
        <f>RTD("rtdtrading.rtdserver",, "MRFG3_B_0", "SEMES")</f>
        <v>3.1456492754897298</v>
      </c>
      <c r="BU68" t="str">
        <f>RTD("rtdtrading.rtdserver",, "MRFG3_B_0", "VEN")</f>
        <v>-</v>
      </c>
      <c r="BV68" t="str">
        <f>RTD("rtdtrading.rtdserver",, "MRFG3_B_0", "VAL")</f>
        <v>31/12/9999</v>
      </c>
      <c r="BW68">
        <f>RTD("rtdtrading.rtdserver",, "MRFG3_B_0", "CAB")</f>
        <v>0</v>
      </c>
      <c r="BX68" t="str">
        <f>RTD("rtdtrading.rtdserver",, "MRFG3_B_0", "EST")</f>
        <v>Fechado</v>
      </c>
      <c r="BY68" t="str">
        <f>RTD("rtdtrading.rtdserver",, "MRFG3_B_0", "BLACK")</f>
        <v>-</v>
      </c>
      <c r="BZ68" t="str">
        <f>RTD("rtdtrading.rtdserver",, "MRFG3_B_0", "IMPVT")</f>
        <v>-</v>
      </c>
      <c r="CA68" t="str">
        <f>RTD("rtdtrading.rtdserver",, "MRFG3_B_0", "DELTA")</f>
        <v>-</v>
      </c>
      <c r="CB68" t="str">
        <f>RTD("rtdtrading.rtdserver",, "MRFG3_B_0", "GAMA")</f>
        <v>-</v>
      </c>
      <c r="CC68" t="str">
        <f>RTD("rtdtrading.rtdserver",, "MRFG3_B_0", "THETA")</f>
        <v>-</v>
      </c>
      <c r="CD68" t="str">
        <f>RTD("rtdtrading.rtdserver",, "MRFG3_B_0", "RHO")</f>
        <v>-</v>
      </c>
      <c r="CE68" t="str">
        <f>RTD("rtdtrading.rtdserver",, "MRFG3_B_0", "VEGA")</f>
        <v>-</v>
      </c>
      <c r="CF68" t="str">
        <f>RTD("rtdtrading.rtdserver",, "MRFG3_B_0", "VIA")</f>
        <v>-</v>
      </c>
      <c r="CG68" t="str">
        <f>RTD("rtdtrading.rtdserver",, "MRFG3_B_0", "VIB")</f>
        <v>-</v>
      </c>
      <c r="CH68" t="str">
        <f>RTD("rtdtrading.rtdserver",, "MRFG3_B_0", "DOBRAR")</f>
        <v>-</v>
      </c>
      <c r="CI68" t="str">
        <f>RTD("rtdtrading.rtdserver",, "MRFG3_B_0", "VIVH")</f>
        <v>-</v>
      </c>
      <c r="CJ68" t="str">
        <f>RTD("rtdtrading.rtdserver",, "MRFG3_B_0", "VINT")</f>
        <v>-</v>
      </c>
      <c r="CK68" t="str">
        <f>RTD("rtdtrading.rtdserver",, "MRFG3_B_0", "VEXT")</f>
        <v>-</v>
      </c>
    </row>
    <row r="69" spans="2:89" x14ac:dyDescent="0.25">
      <c r="B69" t="s">
        <v>321</v>
      </c>
      <c r="C69" t="s">
        <v>348</v>
      </c>
      <c r="D69" t="s">
        <v>142</v>
      </c>
      <c r="E69" s="76">
        <v>1215488549</v>
      </c>
      <c r="F69">
        <v>0.878</v>
      </c>
      <c r="J69" s="3">
        <f>RTD("rtdtrading.rtdserver",, $B69&amp;"_B_0", J$4)</f>
        <v>15.47</v>
      </c>
      <c r="K69" s="3">
        <f>RTD("rtdtrading.rtdserver",, $B69&amp;"_B_0", K$4)</f>
        <v>15.370000000000001</v>
      </c>
      <c r="L69" s="3">
        <f>RTD("rtdtrading.rtdserver",, $B69&amp;"_B_0", L$4)</f>
        <v>0</v>
      </c>
      <c r="M69" s="3">
        <f t="shared" si="3"/>
        <v>15.370000000000001</v>
      </c>
      <c r="O69" s="33">
        <f t="shared" si="4"/>
        <v>1243.9238183744699</v>
      </c>
      <c r="P69" s="10">
        <f t="shared" si="13"/>
        <v>-6.4641241111829117E-3</v>
      </c>
      <c r="Q69">
        <v>6.3999999999999997E-5</v>
      </c>
      <c r="R69" s="17">
        <f t="shared" si="5"/>
        <v>-6.4001241111829119E-3</v>
      </c>
      <c r="S69">
        <v>64</v>
      </c>
      <c r="T69" s="10" t="str">
        <f t="shared" si="6"/>
        <v>IRBR3</v>
      </c>
      <c r="U69" s="10">
        <f t="shared" si="12"/>
        <v>-9.1186794462193976E-3</v>
      </c>
      <c r="V69" t="str">
        <f t="shared" si="7"/>
        <v/>
      </c>
      <c r="W69" s="10" t="str">
        <f t="shared" si="8"/>
        <v>CSNA3</v>
      </c>
      <c r="X69" s="10">
        <f t="shared" si="9"/>
        <v>4.8232425683711498E-3</v>
      </c>
      <c r="Y69" s="33">
        <f t="shared" si="10"/>
        <v>1243.9238183744699</v>
      </c>
      <c r="Z69" s="80">
        <f t="shared" si="11"/>
        <v>0</v>
      </c>
      <c r="AM69" t="s">
        <v>349</v>
      </c>
      <c r="AN69" t="str">
        <f>RTD("rtdtrading.rtdserver",, "JALL3_B_0", "DAT")</f>
        <v>14/10/2025</v>
      </c>
      <c r="AO69" t="str">
        <f>RTD("rtdtrading.rtdserver",, "JALL3_B_0", "HOR")</f>
        <v>17:59:49</v>
      </c>
      <c r="AP69">
        <f>RTD("rtdtrading.rtdserver",, "JALL3_B_0", "ULT")</f>
        <v>2.5900000000000003</v>
      </c>
      <c r="AQ69">
        <f>RTD("rtdtrading.rtdserver",, "JALL3_B_0", "ABE")</f>
        <v>2.58</v>
      </c>
      <c r="AR69">
        <f>RTD("rtdtrading.rtdserver",, "JALL3_B_0", "MAX")</f>
        <v>2.6</v>
      </c>
      <c r="AS69">
        <f>RTD("rtdtrading.rtdserver",, "JALL3_B_0", "MIN")</f>
        <v>2.5499999999999998</v>
      </c>
      <c r="AT69">
        <f>RTD("rtdtrading.rtdserver",, "JALL3_B_0", "FEC")</f>
        <v>2.6</v>
      </c>
      <c r="AU69">
        <f>RTD("rtdtrading.rtdserver",, "JALL3_B_0", "PEX")</f>
        <v>0</v>
      </c>
      <c r="AV69">
        <f>RTD("rtdtrading.rtdserver",, "JALL3_B_0", "VAR")</f>
        <v>-0.38461538461537642</v>
      </c>
      <c r="AW69">
        <f>RTD("rtdtrading.rtdserver",, "JALL3_B_0", "VARPTS")</f>
        <v>-9.9999999999997868E-3</v>
      </c>
      <c r="AX69">
        <f>RTD("rtdtrading.rtdserver",, "JALL3_B_0", "MED")</f>
        <v>2.5788352348102945</v>
      </c>
      <c r="AY69" t="s">
        <v>350</v>
      </c>
      <c r="AZ69">
        <f>RTD("rtdtrading.rtdserver",, "JALL3_B_0", "NEG")</f>
        <v>1639</v>
      </c>
      <c r="BA69">
        <f>RTD("rtdtrading.rtdserver",, "JALL3_B_0", "QUL")</f>
        <v>0</v>
      </c>
      <c r="BB69">
        <f>RTD("rtdtrading.rtdserver",, "JALL3_B_0", "QTT")</f>
        <v>1507600</v>
      </c>
      <c r="BC69">
        <f>RTD("rtdtrading.rtdserver",, "JALL3_B_0", "VOL")</f>
        <v>3887852</v>
      </c>
      <c r="BD69">
        <f>RTD("rtdtrading.rtdserver",, "JALL3_B_0", "OCP")</f>
        <v>2.5500000000000003</v>
      </c>
      <c r="BE69">
        <f>RTD("rtdtrading.rtdserver",, "JALL3_B_0", "OVD")</f>
        <v>2.65</v>
      </c>
      <c r="BF69">
        <f>RTD("rtdtrading.rtdserver",, "JALL3_B_0", "VOC")</f>
        <v>15600</v>
      </c>
      <c r="BG69">
        <f>RTD("rtdtrading.rtdserver",, "JALL3_B_0", "VOV")</f>
        <v>300</v>
      </c>
      <c r="BH69">
        <f>RTD("rtdtrading.rtdserver",, "JALL3_B_0", "AJU")</f>
        <v>0</v>
      </c>
      <c r="BI69">
        <f>RTD("rtdtrading.rtdserver",, "JALL3_B_0", "AJA")</f>
        <v>0</v>
      </c>
      <c r="BJ69">
        <f>RTD("rtdtrading.rtdserver",, "JALL3_B_0", "PRT")</f>
        <v>0</v>
      </c>
      <c r="BK69">
        <f>RTD("rtdtrading.rtdserver",, "JALL3_B_0", "QTE")</f>
        <v>0</v>
      </c>
      <c r="BL69">
        <f>RTD("rtdtrading.rtdserver",, "JALL3_B_0", "VPJ")</f>
        <v>3887852</v>
      </c>
      <c r="BM69">
        <f>RTD("rtdtrading.rtdserver",, "JALL3_B_0", "SEM")</f>
        <v>-1.5209125475285183</v>
      </c>
      <c r="BN69">
        <f>RTD("rtdtrading.rtdserver",, "JALL3_B_0", "MES")</f>
        <v>-5.4744525547445217</v>
      </c>
      <c r="BO69">
        <f>RTD("rtdtrading.rtdserver",, "JALL3_B_0", "3M")</f>
        <v>-27.450980392156861</v>
      </c>
      <c r="BP69">
        <f>RTD("rtdtrading.rtdserver",, "JALL3_B_0", "6M")</f>
        <v>-34.595959595959599</v>
      </c>
      <c r="BQ69">
        <f>RTD("rtdtrading.rtdserver",, "JALL3_B_0", "12M")</f>
        <v>-58.022690437601284</v>
      </c>
      <c r="BR69">
        <f>RTD("rtdtrading.rtdserver",, "JALL3_B_0", "ANO")</f>
        <v>-44.181034482758619</v>
      </c>
      <c r="BS69">
        <f>RTD("rtdtrading.rtdserver",, "JALL3_B_0", "TRIM")</f>
        <v>-5.4744525547445217</v>
      </c>
      <c r="BT69">
        <f>RTD("rtdtrading.rtdserver",, "JALL3_B_0", "SEMES")</f>
        <v>-32.72727272727272</v>
      </c>
      <c r="BU69" t="str">
        <f>RTD("rtdtrading.rtdserver",, "JALL3_B_0", "VEN")</f>
        <v>-</v>
      </c>
      <c r="BV69" t="str">
        <f>RTD("rtdtrading.rtdserver",, "JALL3_B_0", "VAL")</f>
        <v>31/12/9999</v>
      </c>
      <c r="BW69">
        <f>RTD("rtdtrading.rtdserver",, "JALL3_B_0", "CAB")</f>
        <v>0</v>
      </c>
      <c r="BX69" t="str">
        <f>RTD("rtdtrading.rtdserver",, "JALL3_B_0", "EST")</f>
        <v>Pré-Fechamento</v>
      </c>
      <c r="BY69" t="str">
        <f>RTD("rtdtrading.rtdserver",, "JALL3_B_0", "BLACK")</f>
        <v>-</v>
      </c>
      <c r="BZ69" t="str">
        <f>RTD("rtdtrading.rtdserver",, "JALL3_B_0", "IMPVT")</f>
        <v>-</v>
      </c>
      <c r="CA69" t="str">
        <f>RTD("rtdtrading.rtdserver",, "JALL3_B_0", "DELTA")</f>
        <v>-</v>
      </c>
      <c r="CB69" t="str">
        <f>RTD("rtdtrading.rtdserver",, "JALL3_B_0", "GAMA")</f>
        <v>-</v>
      </c>
      <c r="CC69" t="str">
        <f>RTD("rtdtrading.rtdserver",, "JALL3_B_0", "THETA")</f>
        <v>-</v>
      </c>
      <c r="CD69" t="str">
        <f>RTD("rtdtrading.rtdserver",, "JALL3_B_0", "RHO")</f>
        <v>-</v>
      </c>
      <c r="CE69" t="str">
        <f>RTD("rtdtrading.rtdserver",, "JALL3_B_0", "VEGA")</f>
        <v>-</v>
      </c>
      <c r="CF69" t="str">
        <f>RTD("rtdtrading.rtdserver",, "JALL3_B_0", "VIA")</f>
        <v>-</v>
      </c>
      <c r="CG69" t="str">
        <f>RTD("rtdtrading.rtdserver",, "JALL3_B_0", "VIB")</f>
        <v>-</v>
      </c>
      <c r="CH69" t="str">
        <f>RTD("rtdtrading.rtdserver",, "JALL3_B_0", "DOBRAR")</f>
        <v>-</v>
      </c>
      <c r="CI69" t="str">
        <f>RTD("rtdtrading.rtdserver",, "JALL3_B_0", "VIVH")</f>
        <v>-</v>
      </c>
      <c r="CJ69" t="str">
        <f>RTD("rtdtrading.rtdserver",, "JALL3_B_0", "VINT")</f>
        <v>-</v>
      </c>
      <c r="CK69" t="str">
        <f>RTD("rtdtrading.rtdserver",, "JALL3_B_0", "VEXT")</f>
        <v>-</v>
      </c>
    </row>
    <row r="70" spans="2:89" x14ac:dyDescent="0.25">
      <c r="B70" t="s">
        <v>351</v>
      </c>
      <c r="C70" t="s">
        <v>352</v>
      </c>
      <c r="D70" t="s">
        <v>142</v>
      </c>
      <c r="E70" s="76">
        <v>596215913</v>
      </c>
      <c r="F70">
        <v>3.4969999999999999</v>
      </c>
      <c r="J70" s="3">
        <f>RTD("rtdtrading.rtdserver",, $B70&amp;"_B_0", J$4)</f>
        <v>123.53</v>
      </c>
      <c r="K70" s="3">
        <f>RTD("rtdtrading.rtdserver",, $B70&amp;"_B_0", K$4)</f>
        <v>124.83000000000001</v>
      </c>
      <c r="L70" s="3">
        <f>RTD("rtdtrading.rtdserver",, $B70&amp;"_B_0", L$4)</f>
        <v>0</v>
      </c>
      <c r="M70" s="3">
        <f t="shared" si="3"/>
        <v>124.83000000000001</v>
      </c>
      <c r="O70" s="33">
        <f t="shared" si="4"/>
        <v>4955.5467560522529</v>
      </c>
      <c r="P70" s="10">
        <f t="shared" si="13"/>
        <v>1.052375941066952E-2</v>
      </c>
      <c r="Q70">
        <v>6.4999999999999994E-5</v>
      </c>
      <c r="R70" s="17">
        <f t="shared" si="5"/>
        <v>1.0588759410669521E-2</v>
      </c>
      <c r="S70">
        <v>65</v>
      </c>
      <c r="T70" s="10" t="str">
        <f t="shared" si="6"/>
        <v>VAMO3</v>
      </c>
      <c r="U70" s="10">
        <f t="shared" ref="U70:U87" si="14">IFERROR(LARGE($R$6:$R$130,S70),"")</f>
        <v>-1.0160907849829282E-2</v>
      </c>
      <c r="V70" t="str">
        <f t="shared" si="7"/>
        <v/>
      </c>
      <c r="W70" s="10" t="str">
        <f t="shared" si="8"/>
        <v>RADL3</v>
      </c>
      <c r="X70" s="10">
        <f t="shared" si="9"/>
        <v>4.8867372654154643E-3</v>
      </c>
      <c r="Y70" s="33">
        <f t="shared" si="10"/>
        <v>4955.5467560522529</v>
      </c>
      <c r="Z70" s="80">
        <f t="shared" si="11"/>
        <v>0</v>
      </c>
      <c r="AM70" t="s">
        <v>315</v>
      </c>
      <c r="AN70" t="str">
        <f>RTD("rtdtrading.rtdserver",, "PCAR3_B_0", "DAT")</f>
        <v>14/10/2025</v>
      </c>
      <c r="AO70" t="str">
        <f>RTD("rtdtrading.rtdserver",, "PCAR3_B_0", "HOR")</f>
        <v>17:07:40</v>
      </c>
      <c r="AP70">
        <f>RTD("rtdtrading.rtdserver",, "PCAR3_B_0", "ULT")</f>
        <v>3.77</v>
      </c>
      <c r="AQ70">
        <f>RTD("rtdtrading.rtdserver",, "PCAR3_B_0", "ABE")</f>
        <v>3.83</v>
      </c>
      <c r="AR70">
        <f>RTD("rtdtrading.rtdserver",, "PCAR3_B_0", "MAX")</f>
        <v>3.84</v>
      </c>
      <c r="AS70">
        <f>RTD("rtdtrading.rtdserver",, "PCAR3_B_0", "MIN")</f>
        <v>3.67</v>
      </c>
      <c r="AT70">
        <f>RTD("rtdtrading.rtdserver",, "PCAR3_B_0", "FEC")</f>
        <v>3.8400000000000003</v>
      </c>
      <c r="AU70">
        <f>RTD("rtdtrading.rtdserver",, "PCAR3_B_0", "PEX")</f>
        <v>0</v>
      </c>
      <c r="AV70">
        <f>RTD("rtdtrading.rtdserver",, "PCAR3_B_0", "VAR")</f>
        <v>-1.8229166666666741</v>
      </c>
      <c r="AW70">
        <f>RTD("rtdtrading.rtdserver",, "PCAR3_B_0", "VARPTS")</f>
        <v>-7.0000000000000284E-2</v>
      </c>
      <c r="AX70">
        <f>RTD("rtdtrading.rtdserver",, "PCAR3_B_0", "MED")</f>
        <v>3.7339301699575498</v>
      </c>
      <c r="AY70" t="s">
        <v>353</v>
      </c>
      <c r="AZ70">
        <f>RTD("rtdtrading.rtdserver",, "PCAR3_B_0", "NEG")</f>
        <v>15150</v>
      </c>
      <c r="BA70">
        <f>RTD("rtdtrading.rtdserver",, "PCAR3_B_0", "QUL")</f>
        <v>0</v>
      </c>
      <c r="BB70">
        <f>RTD("rtdtrading.rtdserver",, "PCAR3_B_0", "QTT")</f>
        <v>19057700</v>
      </c>
      <c r="BC70">
        <f>RTD("rtdtrading.rtdserver",, "PCAR3_B_0", "VOL")</f>
        <v>71160121</v>
      </c>
      <c r="BD70">
        <f>RTD("rtdtrading.rtdserver",, "PCAR3_B_0", "OCP")</f>
        <v>3.74</v>
      </c>
      <c r="BE70">
        <f>RTD("rtdtrading.rtdserver",, "PCAR3_B_0", "OVD")</f>
        <v>3.7800000000000002</v>
      </c>
      <c r="BF70">
        <f>RTD("rtdtrading.rtdserver",, "PCAR3_B_0", "VOC")</f>
        <v>10000</v>
      </c>
      <c r="BG70">
        <f>RTD("rtdtrading.rtdserver",, "PCAR3_B_0", "VOV")</f>
        <v>11000</v>
      </c>
      <c r="BH70">
        <f>RTD("rtdtrading.rtdserver",, "PCAR3_B_0", "AJU")</f>
        <v>0</v>
      </c>
      <c r="BI70">
        <f>RTD("rtdtrading.rtdserver",, "PCAR3_B_0", "AJA")</f>
        <v>0</v>
      </c>
      <c r="BJ70">
        <f>RTD("rtdtrading.rtdserver",, "PCAR3_B_0", "PRT")</f>
        <v>0</v>
      </c>
      <c r="BK70">
        <f>RTD("rtdtrading.rtdserver",, "PCAR3_B_0", "QTE")</f>
        <v>0</v>
      </c>
      <c r="BL70">
        <f>RTD("rtdtrading.rtdserver",, "PCAR3_B_0", "VPJ")</f>
        <v>71160121</v>
      </c>
      <c r="BM70">
        <f>RTD("rtdtrading.rtdserver",, "PCAR3_B_0", "SEM")</f>
        <v>-4.7979797979798073</v>
      </c>
      <c r="BN70">
        <f>RTD("rtdtrading.rtdserver",, "PCAR3_B_0", "MES")</f>
        <v>-5.2763819095477382</v>
      </c>
      <c r="BO70">
        <f>RTD("rtdtrading.rtdserver",, "PCAR3_B_0", "3M")</f>
        <v>17.812499999999996</v>
      </c>
      <c r="BP70">
        <f>RTD("rtdtrading.rtdserver",, "PCAR3_B_0", "6M")</f>
        <v>-1.0498687664042003</v>
      </c>
      <c r="BQ70">
        <f>RTD("rtdtrading.rtdserver",, "PCAR3_B_0", "12M")</f>
        <v>15.290519877675839</v>
      </c>
      <c r="BR70">
        <f>RTD("rtdtrading.rtdserver",, "PCAR3_B_0", "ANO")</f>
        <v>47.843137254901947</v>
      </c>
      <c r="BS70">
        <f>RTD("rtdtrading.rtdserver",, "PCAR3_B_0", "TRIM")</f>
        <v>-5.2763819095477382</v>
      </c>
      <c r="BT70">
        <f>RTD("rtdtrading.rtdserver",, "PCAR3_B_0", "SEMES")</f>
        <v>22.402597402597401</v>
      </c>
      <c r="BU70" t="str">
        <f>RTD("rtdtrading.rtdserver",, "PCAR3_B_0", "VEN")</f>
        <v>-</v>
      </c>
      <c r="BV70" t="str">
        <f>RTD("rtdtrading.rtdserver",, "PCAR3_B_0", "VAL")</f>
        <v>31/12/9999</v>
      </c>
      <c r="BW70">
        <f>RTD("rtdtrading.rtdserver",, "PCAR3_B_0", "CAB")</f>
        <v>0</v>
      </c>
      <c r="BX70" t="str">
        <f>RTD("rtdtrading.rtdserver",, "PCAR3_B_0", "EST")</f>
        <v>Pré-Fechamento</v>
      </c>
      <c r="BY70" t="str">
        <f>RTD("rtdtrading.rtdserver",, "PCAR3_B_0", "BLACK")</f>
        <v>-</v>
      </c>
      <c r="BZ70" t="str">
        <f>RTD("rtdtrading.rtdserver",, "PCAR3_B_0", "IMPVT")</f>
        <v>-</v>
      </c>
      <c r="CA70" t="str">
        <f>RTD("rtdtrading.rtdserver",, "PCAR3_B_0", "DELTA")</f>
        <v>-</v>
      </c>
      <c r="CB70" t="str">
        <f>RTD("rtdtrading.rtdserver",, "PCAR3_B_0", "GAMA")</f>
        <v>-</v>
      </c>
      <c r="CC70" t="str">
        <f>RTD("rtdtrading.rtdserver",, "PCAR3_B_0", "THETA")</f>
        <v>-</v>
      </c>
      <c r="CD70" t="str">
        <f>RTD("rtdtrading.rtdserver",, "PCAR3_B_0", "RHO")</f>
        <v>-</v>
      </c>
      <c r="CE70" t="str">
        <f>RTD("rtdtrading.rtdserver",, "PCAR3_B_0", "VEGA")</f>
        <v>-</v>
      </c>
      <c r="CF70" t="str">
        <f>RTD("rtdtrading.rtdserver",, "PCAR3_B_0", "VIA")</f>
        <v>-</v>
      </c>
      <c r="CG70" t="str">
        <f>RTD("rtdtrading.rtdserver",, "PCAR3_B_0", "VIB")</f>
        <v>-</v>
      </c>
      <c r="CH70" t="str">
        <f>RTD("rtdtrading.rtdserver",, "PCAR3_B_0", "DOBRAR")</f>
        <v>-</v>
      </c>
      <c r="CI70" t="str">
        <f>RTD("rtdtrading.rtdserver",, "PCAR3_B_0", "VIVH")</f>
        <v>-</v>
      </c>
      <c r="CJ70" t="str">
        <f>RTD("rtdtrading.rtdserver",, "PCAR3_B_0", "VINT")</f>
        <v>-</v>
      </c>
      <c r="CK70" t="str">
        <f>RTD("rtdtrading.rtdserver",, "PCAR3_B_0", "VEXT")</f>
        <v>-</v>
      </c>
    </row>
    <row r="71" spans="2:89" x14ac:dyDescent="0.25">
      <c r="B71" t="s">
        <v>354</v>
      </c>
      <c r="C71" t="s">
        <v>355</v>
      </c>
      <c r="D71" t="s">
        <v>356</v>
      </c>
      <c r="E71" s="76">
        <v>360347199</v>
      </c>
      <c r="F71">
        <v>0.46500000000000002</v>
      </c>
      <c r="J71" s="3">
        <f>RTD("rtdtrading.rtdserver",, $B71&amp;"_B_0", J$4)</f>
        <v>27.740000000000002</v>
      </c>
      <c r="K71" s="3">
        <f>RTD("rtdtrading.rtdserver",, $B71&amp;"_B_0", K$4)</f>
        <v>27.450000000000003</v>
      </c>
      <c r="L71" s="3">
        <f>RTD("rtdtrading.rtdserver",, $B71&amp;"_B_0", L$4)</f>
        <v>0</v>
      </c>
      <c r="M71" s="3">
        <f t="shared" ref="M71:M87" si="15">IF(L71=0,K71,L71)</f>
        <v>27.450000000000003</v>
      </c>
      <c r="O71" s="33">
        <f t="shared" ref="O71:O87" si="16">M71*$E71/$E$89</f>
        <v>658.61640466732115</v>
      </c>
      <c r="P71" s="10">
        <f t="shared" si="13"/>
        <v>-1.0454217736121096E-2</v>
      </c>
      <c r="Q71">
        <v>6.6000000000000005E-5</v>
      </c>
      <c r="R71" s="17">
        <f t="shared" ref="R71:R87" si="17">P71+Q71</f>
        <v>-1.0388217736121096E-2</v>
      </c>
      <c r="S71">
        <v>66</v>
      </c>
      <c r="T71" s="10" t="str">
        <f t="shared" ref="T71:T87" si="18">_xlfn.XLOOKUP($U71,$R$6:$R$89,$B$6:$B$89)</f>
        <v>ENEV3</v>
      </c>
      <c r="U71" s="10">
        <f t="shared" si="14"/>
        <v>-1.0284533980582381E-2</v>
      </c>
      <c r="V71" t="str">
        <f t="shared" ref="V71:V87" si="19">IF(L71&lt;&gt;0,L71,"")</f>
        <v/>
      </c>
      <c r="W71" s="10" t="str">
        <f t="shared" ref="W71:W87" si="20">_xlfn.XLOOKUP($X71,$R$6:$R$87,$B$6:$B$87)</f>
        <v>CMIN3</v>
      </c>
      <c r="X71" s="10">
        <f t="shared" ref="X71:X87" si="21">IFERROR(SMALL($R$6:$R$89,S71),"")</f>
        <v>5.3411489361701375E-3</v>
      </c>
      <c r="Y71" s="33">
        <f t="shared" ref="Y71:Y87" si="22">M71*$E71/$E$89</f>
        <v>658.61640466732115</v>
      </c>
      <c r="Z71" s="80">
        <f t="shared" ref="Z71:Z87" si="23">Y71-O71</f>
        <v>0</v>
      </c>
      <c r="AM71" t="s">
        <v>357</v>
      </c>
      <c r="AN71" t="str">
        <f>RTD("rtdtrading.rtdserver",, "AGRO3_B_0", "DAT")</f>
        <v>14/10/2025</v>
      </c>
      <c r="AO71" t="str">
        <f>RTD("rtdtrading.rtdserver",, "AGRO3_B_0", "HOR")</f>
        <v>17:06:00</v>
      </c>
      <c r="AP71">
        <f>RTD("rtdtrading.rtdserver",, "AGRO3_B_0", "ULT")</f>
        <v>20.14</v>
      </c>
      <c r="AQ71">
        <f>RTD("rtdtrading.rtdserver",, "AGRO3_B_0", "ABE")</f>
        <v>20.11</v>
      </c>
      <c r="AR71">
        <f>RTD("rtdtrading.rtdserver",, "AGRO3_B_0", "MAX")</f>
        <v>20.21</v>
      </c>
      <c r="AS71">
        <f>RTD("rtdtrading.rtdserver",, "AGRO3_B_0", "MIN")</f>
        <v>20.079999999999998</v>
      </c>
      <c r="AT71">
        <f>RTD("rtdtrading.rtdserver",, "AGRO3_B_0", "FEC")</f>
        <v>20.2</v>
      </c>
      <c r="AU71">
        <f>RTD("rtdtrading.rtdserver",, "AGRO3_B_0", "PEX")</f>
        <v>0</v>
      </c>
      <c r="AV71">
        <f>RTD("rtdtrading.rtdserver",, "AGRO3_B_0", "VAR")</f>
        <v>-0.29702970297029069</v>
      </c>
      <c r="AW71">
        <f>RTD("rtdtrading.rtdserver",, "AGRO3_B_0", "VARPTS")</f>
        <v>-5.9999999999998721E-2</v>
      </c>
      <c r="AX71">
        <f>RTD("rtdtrading.rtdserver",, "AGRO3_B_0", "MED")</f>
        <v>20.143014048531288</v>
      </c>
      <c r="AY71" t="s">
        <v>358</v>
      </c>
      <c r="AZ71">
        <f>RTD("rtdtrading.rtdserver",, "AGRO3_B_0", "NEG")</f>
        <v>780</v>
      </c>
      <c r="BA71">
        <f>RTD("rtdtrading.rtdserver",, "AGRO3_B_0", "QUL")</f>
        <v>0</v>
      </c>
      <c r="BB71">
        <f>RTD("rtdtrading.rtdserver",, "AGRO3_B_0", "QTT")</f>
        <v>156600</v>
      </c>
      <c r="BC71">
        <f>RTD("rtdtrading.rtdserver",, "AGRO3_B_0", "VOL")</f>
        <v>3154396</v>
      </c>
      <c r="BD71">
        <f>RTD("rtdtrading.rtdserver",, "AGRO3_B_0", "OCP")</f>
        <v>20.100000000000001</v>
      </c>
      <c r="BE71">
        <f>RTD("rtdtrading.rtdserver",, "AGRO3_B_0", "OVD")</f>
        <v>20.14</v>
      </c>
      <c r="BF71">
        <f>RTD("rtdtrading.rtdserver",, "AGRO3_B_0", "VOC")</f>
        <v>200</v>
      </c>
      <c r="BG71">
        <f>RTD("rtdtrading.rtdserver",, "AGRO3_B_0", "VOV")</f>
        <v>100</v>
      </c>
      <c r="BH71">
        <f>RTD("rtdtrading.rtdserver",, "AGRO3_B_0", "AJU")</f>
        <v>0</v>
      </c>
      <c r="BI71">
        <f>RTD("rtdtrading.rtdserver",, "AGRO3_B_0", "AJA")</f>
        <v>0</v>
      </c>
      <c r="BJ71">
        <f>RTD("rtdtrading.rtdserver",, "AGRO3_B_0", "PRT")</f>
        <v>0</v>
      </c>
      <c r="BK71">
        <f>RTD("rtdtrading.rtdserver",, "AGRO3_B_0", "QTE")</f>
        <v>0</v>
      </c>
      <c r="BL71">
        <f>RTD("rtdtrading.rtdserver",, "AGRO3_B_0", "VPJ")</f>
        <v>3154396</v>
      </c>
      <c r="BM71">
        <f>RTD("rtdtrading.rtdserver",, "AGRO3_B_0", "SEM")</f>
        <v>-0.44488383588729541</v>
      </c>
      <c r="BN71">
        <f>RTD("rtdtrading.rtdserver",, "AGRO3_B_0", "MES")</f>
        <v>-0.54320987654320707</v>
      </c>
      <c r="BO71">
        <f>RTD("rtdtrading.rtdserver",, "AGRO3_B_0", "3M")</f>
        <v>-1.515892420537891</v>
      </c>
      <c r="BP71">
        <f>RTD("rtdtrading.rtdserver",, "AGRO3_B_0", "6M")</f>
        <v>-8.6206896551724235</v>
      </c>
      <c r="BQ71">
        <f>RTD("rtdtrading.rtdserver",, "AGRO3_B_0", "12M")</f>
        <v>-13.155591201721373</v>
      </c>
      <c r="BR71">
        <f>RTD("rtdtrading.rtdserver",, "AGRO3_B_0", "ANO")</f>
        <v>-8.9511754068716112</v>
      </c>
      <c r="BS71">
        <f>RTD("rtdtrading.rtdserver",, "AGRO3_B_0", "TRIM")</f>
        <v>-0.54320987654320707</v>
      </c>
      <c r="BT71">
        <f>RTD("rtdtrading.rtdserver",, "AGRO3_B_0", "SEMES")</f>
        <v>1.7171717171717165</v>
      </c>
      <c r="BU71" t="str">
        <f>RTD("rtdtrading.rtdserver",, "AGRO3_B_0", "VEN")</f>
        <v>-</v>
      </c>
      <c r="BV71" t="str">
        <f>RTD("rtdtrading.rtdserver",, "AGRO3_B_0", "VAL")</f>
        <v>31/12/9999</v>
      </c>
      <c r="BW71">
        <f>RTD("rtdtrading.rtdserver",, "AGRO3_B_0", "CAB")</f>
        <v>0</v>
      </c>
      <c r="BX71" t="str">
        <f>RTD("rtdtrading.rtdserver",, "AGRO3_B_0", "EST")</f>
        <v>Pré-Fechamento</v>
      </c>
      <c r="BY71" t="str">
        <f>RTD("rtdtrading.rtdserver",, "AGRO3_B_0", "BLACK")</f>
        <v>-</v>
      </c>
      <c r="BZ71" t="str">
        <f>RTD("rtdtrading.rtdserver",, "AGRO3_B_0", "IMPVT")</f>
        <v>-</v>
      </c>
      <c r="CA71" t="str">
        <f>RTD("rtdtrading.rtdserver",, "AGRO3_B_0", "DELTA")</f>
        <v>-</v>
      </c>
      <c r="CB71" t="str">
        <f>RTD("rtdtrading.rtdserver",, "AGRO3_B_0", "GAMA")</f>
        <v>-</v>
      </c>
      <c r="CC71" t="str">
        <f>RTD("rtdtrading.rtdserver",, "AGRO3_B_0", "THETA")</f>
        <v>-</v>
      </c>
      <c r="CD71" t="str">
        <f>RTD("rtdtrading.rtdserver",, "AGRO3_B_0", "RHO")</f>
        <v>-</v>
      </c>
      <c r="CE71" t="str">
        <f>RTD("rtdtrading.rtdserver",, "AGRO3_B_0", "VEGA")</f>
        <v>-</v>
      </c>
      <c r="CF71" t="str">
        <f>RTD("rtdtrading.rtdserver",, "AGRO3_B_0", "VIA")</f>
        <v>-</v>
      </c>
      <c r="CG71" t="str">
        <f>RTD("rtdtrading.rtdserver",, "AGRO3_B_0", "VIB")</f>
        <v>-</v>
      </c>
      <c r="CH71" t="str">
        <f>RTD("rtdtrading.rtdserver",, "AGRO3_B_0", "DOBRAR")</f>
        <v>-</v>
      </c>
      <c r="CI71" t="str">
        <f>RTD("rtdtrading.rtdserver",, "AGRO3_B_0", "VIVH")</f>
        <v>-</v>
      </c>
      <c r="CJ71" t="str">
        <f>RTD("rtdtrading.rtdserver",, "AGRO3_B_0", "VINT")</f>
        <v>-</v>
      </c>
      <c r="CK71" t="str">
        <f>RTD("rtdtrading.rtdserver",, "AGRO3_B_0", "VEXT")</f>
        <v>-</v>
      </c>
    </row>
    <row r="72" spans="2:89" x14ac:dyDescent="0.25">
      <c r="B72" t="s">
        <v>152</v>
      </c>
      <c r="C72" t="s">
        <v>364</v>
      </c>
      <c r="D72" t="s">
        <v>135</v>
      </c>
      <c r="E72" s="76">
        <v>727975012</v>
      </c>
      <c r="F72">
        <v>0.28899999999999998</v>
      </c>
      <c r="J72" s="3">
        <f>RTD("rtdtrading.rtdserver",, $B72&amp;"_B_0", J$4)</f>
        <v>8.41</v>
      </c>
      <c r="K72" s="3">
        <f>RTD("rtdtrading.rtdserver",, $B72&amp;"_B_0", K$4)</f>
        <v>8.4500000000000011</v>
      </c>
      <c r="L72" s="3">
        <f>RTD("rtdtrading.rtdserver",, $B72&amp;"_B_0", L$4)</f>
        <v>0</v>
      </c>
      <c r="M72" s="3">
        <f t="shared" si="15"/>
        <v>8.4500000000000011</v>
      </c>
      <c r="O72" s="33">
        <f t="shared" si="16"/>
        <v>409.58328571307658</v>
      </c>
      <c r="P72" s="10">
        <f t="shared" si="13"/>
        <v>4.7562425683711496E-3</v>
      </c>
      <c r="Q72">
        <v>6.7000000000000002E-5</v>
      </c>
      <c r="R72" s="17">
        <f t="shared" si="17"/>
        <v>4.8232425683711498E-3</v>
      </c>
      <c r="S72">
        <v>67</v>
      </c>
      <c r="T72" s="10" t="str">
        <f t="shared" si="18"/>
        <v>SANB11</v>
      </c>
      <c r="U72" s="10">
        <f t="shared" si="14"/>
        <v>-1.0388217736121096E-2</v>
      </c>
      <c r="V72" t="str">
        <f t="shared" si="19"/>
        <v/>
      </c>
      <c r="W72" s="10" t="str">
        <f t="shared" si="20"/>
        <v>BBDC3</v>
      </c>
      <c r="X72" s="10">
        <f t="shared" si="21"/>
        <v>1.0388622837370179E-2</v>
      </c>
      <c r="Y72" s="33">
        <f t="shared" si="22"/>
        <v>409.58328571307658</v>
      </c>
      <c r="Z72" s="80">
        <f t="shared" si="23"/>
        <v>0</v>
      </c>
      <c r="AM72" t="s">
        <v>359</v>
      </c>
      <c r="AN72" t="str">
        <f>RTD("rtdtrading.rtdserver",, "ARZZ3_B_0", "DAT")</f>
        <v>30/12/1899</v>
      </c>
      <c r="AO72" t="str">
        <f>RTD("rtdtrading.rtdserver",, "ARZZ3_B_0", "HOR")</f>
        <v>00:00:00</v>
      </c>
      <c r="AP72">
        <f>RTD("rtdtrading.rtdserver",, "ARZZ3_B_0", "ULT")</f>
        <v>0</v>
      </c>
      <c r="AQ72">
        <f>RTD("rtdtrading.rtdserver",, "ARZZ3_B_0", "ABE")</f>
        <v>0</v>
      </c>
      <c r="AR72">
        <f>RTD("rtdtrading.rtdserver",, "ARZZ3_B_0", "MAX")</f>
        <v>0</v>
      </c>
      <c r="AS72">
        <f>RTD("rtdtrading.rtdserver",, "ARZZ3_B_0", "MIN")</f>
        <v>0</v>
      </c>
      <c r="AT72">
        <f>RTD("rtdtrading.rtdserver",, "ARZZ3_B_0", "FEC")</f>
        <v>0</v>
      </c>
      <c r="AU72">
        <f>RTD("rtdtrading.rtdserver",, "ARZZ3_B_0", "PEX")</f>
        <v>0</v>
      </c>
      <c r="AV72">
        <f>RTD("rtdtrading.rtdserver",, "ARZZ3_B_0", "VAR")</f>
        <v>0</v>
      </c>
      <c r="AW72">
        <f>RTD("rtdtrading.rtdserver",, "ARZZ3_B_0", "VARPTS")</f>
        <v>0</v>
      </c>
      <c r="AX72">
        <f>RTD("rtdtrading.rtdserver",, "ARZZ3_B_0", "MED")</f>
        <v>0</v>
      </c>
      <c r="AY72" t="s">
        <v>360</v>
      </c>
      <c r="AZ72">
        <f>RTD("rtdtrading.rtdserver",, "ARZZ3_B_0", "NEG")</f>
        <v>0</v>
      </c>
      <c r="BA72">
        <f>RTD("rtdtrading.rtdserver",, "ARZZ3_B_0", "QUL")</f>
        <v>0</v>
      </c>
      <c r="BB72">
        <f>RTD("rtdtrading.rtdserver",, "ARZZ3_B_0", "QTT")</f>
        <v>0</v>
      </c>
      <c r="BC72">
        <f>RTD("rtdtrading.rtdserver",, "ARZZ3_B_0", "VOL")</f>
        <v>0</v>
      </c>
      <c r="BD72">
        <f>RTD("rtdtrading.rtdserver",, "ARZZ3_B_0", "OCP")</f>
        <v>0</v>
      </c>
      <c r="BE72">
        <f>RTD("rtdtrading.rtdserver",, "ARZZ3_B_0", "OVD")</f>
        <v>0</v>
      </c>
      <c r="BF72">
        <f>RTD("rtdtrading.rtdserver",, "ARZZ3_B_0", "VOC")</f>
        <v>0</v>
      </c>
      <c r="BG72">
        <f>RTD("rtdtrading.rtdserver",, "ARZZ3_B_0", "VOV")</f>
        <v>0</v>
      </c>
      <c r="BH72">
        <f>RTD("rtdtrading.rtdserver",, "ARZZ3_B_0", "AJU")</f>
        <v>0</v>
      </c>
      <c r="BI72">
        <f>RTD("rtdtrading.rtdserver",, "ARZZ3_B_0", "AJA")</f>
        <v>0</v>
      </c>
      <c r="BJ72">
        <f>RTD("rtdtrading.rtdserver",, "ARZZ3_B_0", "PRT")</f>
        <v>0</v>
      </c>
      <c r="BK72">
        <f>RTD("rtdtrading.rtdserver",, "ARZZ3_B_0", "QTE")</f>
        <v>0</v>
      </c>
      <c r="BL72">
        <f>RTD("rtdtrading.rtdserver",, "ARZZ3_B_0", "VPJ")</f>
        <v>0</v>
      </c>
      <c r="BM72">
        <f>RTD("rtdtrading.rtdserver",, "ARZZ3_B_0", "SEM")</f>
        <v>0</v>
      </c>
      <c r="BN72">
        <f>RTD("rtdtrading.rtdserver",, "ARZZ3_B_0", "MES")</f>
        <v>0</v>
      </c>
      <c r="BO72">
        <f>RTD("rtdtrading.rtdserver",, "ARZZ3_B_0", "3M")</f>
        <v>0</v>
      </c>
      <c r="BP72">
        <f>RTD("rtdtrading.rtdserver",, "ARZZ3_B_0", "6M")</f>
        <v>0</v>
      </c>
      <c r="BQ72">
        <f>RTD("rtdtrading.rtdserver",, "ARZZ3_B_0", "12M")</f>
        <v>0</v>
      </c>
      <c r="BR72">
        <f>RTD("rtdtrading.rtdserver",, "ARZZ3_B_0", "ANO")</f>
        <v>0</v>
      </c>
      <c r="BS72">
        <f>RTD("rtdtrading.rtdserver",, "ARZZ3_B_0", "TRIM")</f>
        <v>0</v>
      </c>
      <c r="BT72">
        <f>RTD("rtdtrading.rtdserver",, "ARZZ3_B_0", "SEMES")</f>
        <v>0</v>
      </c>
      <c r="BU72" t="str">
        <f>RTD("rtdtrading.rtdserver",, "ARZZ3_B_0", "VEN")</f>
        <v>-</v>
      </c>
      <c r="BV72" t="str">
        <f>RTD("rtdtrading.rtdserver",, "ARZZ3_B_0", "VAL")</f>
        <v>31/12/9999</v>
      </c>
      <c r="BW72">
        <f>RTD("rtdtrading.rtdserver",, "ARZZ3_B_0", "CAB")</f>
        <v>0</v>
      </c>
      <c r="BX72" t="str">
        <f>RTD("rtdtrading.rtdserver",, "ARZZ3_B_0", "EST")</f>
        <v>NONE</v>
      </c>
      <c r="BY72" t="str">
        <f>RTD("rtdtrading.rtdserver",, "ARZZ3_B_0", "BLACK")</f>
        <v>-</v>
      </c>
      <c r="BZ72" t="str">
        <f>RTD("rtdtrading.rtdserver",, "ARZZ3_B_0", "IMPVT")</f>
        <v>-</v>
      </c>
      <c r="CA72" t="str">
        <f>RTD("rtdtrading.rtdserver",, "ARZZ3_B_0", "DELTA")</f>
        <v>-</v>
      </c>
      <c r="CB72" t="str">
        <f>RTD("rtdtrading.rtdserver",, "ARZZ3_B_0", "GAMA")</f>
        <v>-</v>
      </c>
      <c r="CC72" t="str">
        <f>RTD("rtdtrading.rtdserver",, "ARZZ3_B_0", "THETA")</f>
        <v>-</v>
      </c>
      <c r="CD72" t="str">
        <f>RTD("rtdtrading.rtdserver",, "ARZZ3_B_0", "RHO")</f>
        <v>-</v>
      </c>
      <c r="CE72" t="str">
        <f>RTD("rtdtrading.rtdserver",, "ARZZ3_B_0", "VEGA")</f>
        <v>-</v>
      </c>
      <c r="CF72" t="str">
        <f>RTD("rtdtrading.rtdserver",, "ARZZ3_B_0", "VIA")</f>
        <v>-</v>
      </c>
      <c r="CG72" t="str">
        <f>RTD("rtdtrading.rtdserver",, "ARZZ3_B_0", "VIB")</f>
        <v>-</v>
      </c>
      <c r="CH72" t="str">
        <f>RTD("rtdtrading.rtdserver",, "ARZZ3_B_0", "DOBRAR")</f>
        <v>-</v>
      </c>
      <c r="CI72" t="str">
        <f>RTD("rtdtrading.rtdserver",, "ARZZ3_B_0", "VIVH")</f>
        <v>-</v>
      </c>
      <c r="CJ72" t="str">
        <f>RTD("rtdtrading.rtdserver",, "ARZZ3_B_0", "VINT")</f>
        <v>-</v>
      </c>
      <c r="CK72" t="str">
        <f>RTD("rtdtrading.rtdserver",, "ARZZ3_B_0", "VEXT")</f>
        <v>-</v>
      </c>
    </row>
    <row r="73" spans="2:89" x14ac:dyDescent="0.25">
      <c r="B73" t="s">
        <v>367</v>
      </c>
      <c r="C73" t="s">
        <v>368</v>
      </c>
      <c r="D73" t="s">
        <v>142</v>
      </c>
      <c r="E73" s="76">
        <v>197693014</v>
      </c>
      <c r="F73">
        <v>0.14599999999999999</v>
      </c>
      <c r="J73" s="3">
        <f>RTD("rtdtrading.rtdserver",, $B73&amp;"_B_0", J$4)</f>
        <v>15.65</v>
      </c>
      <c r="K73" s="3">
        <f>RTD("rtdtrading.rtdserver",, $B73&amp;"_B_0", K$4)</f>
        <v>15.690000000000001</v>
      </c>
      <c r="L73" s="3">
        <f>RTD("rtdtrading.rtdserver",, $B73&amp;"_B_0", L$4)</f>
        <v>0</v>
      </c>
      <c r="M73" s="3">
        <f t="shared" si="15"/>
        <v>15.690000000000001</v>
      </c>
      <c r="O73" s="33">
        <f t="shared" si="16"/>
        <v>206.53007876160504</v>
      </c>
      <c r="P73" s="10">
        <f t="shared" si="13"/>
        <v>2.5559105431309792E-3</v>
      </c>
      <c r="Q73">
        <v>6.7999999999999999E-5</v>
      </c>
      <c r="R73" s="17">
        <f t="shared" si="17"/>
        <v>2.6239105431309791E-3</v>
      </c>
      <c r="S73">
        <v>68</v>
      </c>
      <c r="T73" s="10" t="str">
        <f t="shared" si="18"/>
        <v>ALOS3</v>
      </c>
      <c r="U73" s="10">
        <f t="shared" si="14"/>
        <v>-1.1220945137157131E-2</v>
      </c>
      <c r="V73" t="str">
        <f t="shared" si="19"/>
        <v/>
      </c>
      <c r="W73" s="10" t="str">
        <f t="shared" si="20"/>
        <v>SBSP3</v>
      </c>
      <c r="X73" s="10">
        <f t="shared" si="21"/>
        <v>1.0588759410669521E-2</v>
      </c>
      <c r="Y73" s="33">
        <f t="shared" si="22"/>
        <v>206.53007876160504</v>
      </c>
      <c r="Z73" s="80">
        <f t="shared" si="23"/>
        <v>0</v>
      </c>
      <c r="AM73" t="s">
        <v>362</v>
      </c>
      <c r="AN73" t="str">
        <f>RTD("rtdtrading.rtdserver",, "KEPL3_B_0", "DAT")</f>
        <v>14/10/2025</v>
      </c>
      <c r="AO73" t="str">
        <f>RTD("rtdtrading.rtdserver",, "KEPL3_B_0", "HOR")</f>
        <v>17:07:38</v>
      </c>
      <c r="AP73">
        <f>RTD("rtdtrading.rtdserver",, "KEPL3_B_0", "ULT")</f>
        <v>7.0900000000000007</v>
      </c>
      <c r="AQ73">
        <f>RTD("rtdtrading.rtdserver",, "KEPL3_B_0", "ABE")</f>
        <v>7.1</v>
      </c>
      <c r="AR73">
        <f>RTD("rtdtrading.rtdserver",, "KEPL3_B_0", "MAX")</f>
        <v>7.15</v>
      </c>
      <c r="AS73">
        <f>RTD("rtdtrading.rtdserver",, "KEPL3_B_0", "MIN")</f>
        <v>7.07</v>
      </c>
      <c r="AT73">
        <f>RTD("rtdtrading.rtdserver",, "KEPL3_B_0", "FEC")</f>
        <v>7.11</v>
      </c>
      <c r="AU73">
        <f>RTD("rtdtrading.rtdserver",, "KEPL3_B_0", "PEX")</f>
        <v>0</v>
      </c>
      <c r="AV73">
        <f>RTD("rtdtrading.rtdserver",, "KEPL3_B_0", "VAR")</f>
        <v>-0.28129395218002212</v>
      </c>
      <c r="AW73">
        <f>RTD("rtdtrading.rtdserver",, "KEPL3_B_0", "VARPTS")</f>
        <v>-1.9999999999999574E-2</v>
      </c>
      <c r="AX73">
        <f>RTD("rtdtrading.rtdserver",, "KEPL3_B_0", "MED")</f>
        <v>7.1048965820742263</v>
      </c>
      <c r="AY73" t="s">
        <v>363</v>
      </c>
      <c r="AZ73">
        <f>RTD("rtdtrading.rtdserver",, "KEPL3_B_0", "NEG")</f>
        <v>2285</v>
      </c>
      <c r="BA73">
        <f>RTD("rtdtrading.rtdserver",, "KEPL3_B_0", "QUL")</f>
        <v>0</v>
      </c>
      <c r="BB73">
        <f>RTD("rtdtrading.rtdserver",, "KEPL3_B_0", "QTT")</f>
        <v>681700</v>
      </c>
      <c r="BC73">
        <f>RTD("rtdtrading.rtdserver",, "KEPL3_B_0", "VOL")</f>
        <v>4843408</v>
      </c>
      <c r="BD73">
        <f>RTD("rtdtrading.rtdserver",, "KEPL3_B_0", "OCP")</f>
        <v>7.07</v>
      </c>
      <c r="BE73">
        <f>RTD("rtdtrading.rtdserver",, "KEPL3_B_0", "OVD")</f>
        <v>7.2</v>
      </c>
      <c r="BF73">
        <f>RTD("rtdtrading.rtdserver",, "KEPL3_B_0", "VOC")</f>
        <v>500</v>
      </c>
      <c r="BG73">
        <f>RTD("rtdtrading.rtdserver",, "KEPL3_B_0", "VOV")</f>
        <v>100</v>
      </c>
      <c r="BH73">
        <f>RTD("rtdtrading.rtdserver",, "KEPL3_B_0", "AJU")</f>
        <v>0</v>
      </c>
      <c r="BI73">
        <f>RTD("rtdtrading.rtdserver",, "KEPL3_B_0", "AJA")</f>
        <v>0</v>
      </c>
      <c r="BJ73">
        <f>RTD("rtdtrading.rtdserver",, "KEPL3_B_0", "PRT")</f>
        <v>0</v>
      </c>
      <c r="BK73">
        <f>RTD("rtdtrading.rtdserver",, "KEPL3_B_0", "QTE")</f>
        <v>0</v>
      </c>
      <c r="BL73">
        <f>RTD("rtdtrading.rtdserver",, "KEPL3_B_0", "VPJ")</f>
        <v>4843408</v>
      </c>
      <c r="BM73">
        <f>RTD("rtdtrading.rtdserver",, "KEPL3_B_0", "SEM")</f>
        <v>-0.97765363128490768</v>
      </c>
      <c r="BN73">
        <f>RTD("rtdtrading.rtdserver",, "KEPL3_B_0", "MES")</f>
        <v>-3.1420765027322344</v>
      </c>
      <c r="BO73">
        <f>RTD("rtdtrading.rtdserver",, "KEPL3_B_0", "3M")</f>
        <v>-4.9852586437952269</v>
      </c>
      <c r="BP73">
        <f>RTD("rtdtrading.rtdserver",, "KEPL3_B_0", "6M")</f>
        <v>-2.6834122572232513</v>
      </c>
      <c r="BQ73">
        <f>RTD("rtdtrading.rtdserver",, "KEPL3_B_0", "12M")</f>
        <v>-17.673014398513693</v>
      </c>
      <c r="BR73">
        <f>RTD("rtdtrading.rtdserver",, "KEPL3_B_0", "ANO")</f>
        <v>-18.016674182768472</v>
      </c>
      <c r="BS73">
        <f>RTD("rtdtrading.rtdserver",, "KEPL3_B_0", "TRIM")</f>
        <v>-3.1420765027322344</v>
      </c>
      <c r="BT73">
        <f>RTD("rtdtrading.rtdserver",, "KEPL3_B_0", "SEMES")</f>
        <v>-11.171805505092891</v>
      </c>
      <c r="BU73" t="str">
        <f>RTD("rtdtrading.rtdserver",, "KEPL3_B_0", "VEN")</f>
        <v>-</v>
      </c>
      <c r="BV73" t="str">
        <f>RTD("rtdtrading.rtdserver",, "KEPL3_B_0", "VAL")</f>
        <v>31/12/9999</v>
      </c>
      <c r="BW73">
        <f>RTD("rtdtrading.rtdserver",, "KEPL3_B_0", "CAB")</f>
        <v>0</v>
      </c>
      <c r="BX73" t="str">
        <f>RTD("rtdtrading.rtdserver",, "KEPL3_B_0", "EST")</f>
        <v>Pré-Fechamento</v>
      </c>
      <c r="BY73" t="str">
        <f>RTD("rtdtrading.rtdserver",, "KEPL3_B_0", "BLACK")</f>
        <v>-</v>
      </c>
      <c r="BZ73" t="str">
        <f>RTD("rtdtrading.rtdserver",, "KEPL3_B_0", "IMPVT")</f>
        <v>-</v>
      </c>
      <c r="CA73" t="str">
        <f>RTD("rtdtrading.rtdserver",, "KEPL3_B_0", "DELTA")</f>
        <v>-</v>
      </c>
      <c r="CB73" t="str">
        <f>RTD("rtdtrading.rtdserver",, "KEPL3_B_0", "GAMA")</f>
        <v>-</v>
      </c>
      <c r="CC73" t="str">
        <f>RTD("rtdtrading.rtdserver",, "KEPL3_B_0", "THETA")</f>
        <v>-</v>
      </c>
      <c r="CD73" t="str">
        <f>RTD("rtdtrading.rtdserver",, "KEPL3_B_0", "RHO")</f>
        <v>-</v>
      </c>
      <c r="CE73" t="str">
        <f>RTD("rtdtrading.rtdserver",, "KEPL3_B_0", "VEGA")</f>
        <v>-</v>
      </c>
      <c r="CF73" t="str">
        <f>RTD("rtdtrading.rtdserver",, "KEPL3_B_0", "VIA")</f>
        <v>-</v>
      </c>
      <c r="CG73" t="str">
        <f>RTD("rtdtrading.rtdserver",, "KEPL3_B_0", "VIB")</f>
        <v>-</v>
      </c>
      <c r="CH73" t="str">
        <f>RTD("rtdtrading.rtdserver",, "KEPL3_B_0", "DOBRAR")</f>
        <v>-</v>
      </c>
      <c r="CI73" t="str">
        <f>RTD("rtdtrading.rtdserver",, "KEPL3_B_0", "VIVH")</f>
        <v>-</v>
      </c>
      <c r="CJ73" t="str">
        <f>RTD("rtdtrading.rtdserver",, "KEPL3_B_0", "VINT")</f>
        <v>-</v>
      </c>
      <c r="CK73" t="str">
        <f>RTD("rtdtrading.rtdserver",, "KEPL3_B_0", "VEXT")</f>
        <v>-</v>
      </c>
    </row>
    <row r="74" spans="2:89" x14ac:dyDescent="0.25">
      <c r="B74" t="s">
        <v>371</v>
      </c>
      <c r="C74" t="s">
        <v>372</v>
      </c>
      <c r="D74" t="s">
        <v>142</v>
      </c>
      <c r="E74" s="76">
        <v>427078008</v>
      </c>
      <c r="F74">
        <v>0.495</v>
      </c>
      <c r="J74" s="3">
        <f>RTD("rtdtrading.rtdserver",, $B74&amp;"_B_0", J$4)</f>
        <v>24.560000000000002</v>
      </c>
      <c r="K74" s="3">
        <f>RTD("rtdtrading.rtdserver",, $B74&amp;"_B_0", K$4)</f>
        <v>24.66</v>
      </c>
      <c r="L74" s="3">
        <f>RTD("rtdtrading.rtdserver",, $B74&amp;"_B_0", L$4)</f>
        <v>0</v>
      </c>
      <c r="M74" s="3">
        <f t="shared" si="15"/>
        <v>24.66</v>
      </c>
      <c r="O74" s="33">
        <f t="shared" si="16"/>
        <v>701.24426919402435</v>
      </c>
      <c r="P74" s="10">
        <f t="shared" si="13"/>
        <v>4.0716612377849071E-3</v>
      </c>
      <c r="Q74">
        <v>6.8999999999999997E-5</v>
      </c>
      <c r="R74" s="17">
        <f t="shared" si="17"/>
        <v>4.1406612377849067E-3</v>
      </c>
      <c r="S74">
        <v>69</v>
      </c>
      <c r="T74" s="10" t="str">
        <f t="shared" si="18"/>
        <v>RECV3</v>
      </c>
      <c r="U74" s="10">
        <f t="shared" si="14"/>
        <v>-1.227752631578949E-2</v>
      </c>
      <c r="V74" t="str">
        <f t="shared" si="19"/>
        <v/>
      </c>
      <c r="W74" s="10" t="str">
        <f t="shared" si="20"/>
        <v>RDOR3</v>
      </c>
      <c r="X74" s="10">
        <f t="shared" si="21"/>
        <v>1.1635327044025111E-2</v>
      </c>
      <c r="Y74" s="33">
        <f t="shared" si="22"/>
        <v>701.24426919402435</v>
      </c>
      <c r="Z74" s="80">
        <f t="shared" si="23"/>
        <v>0</v>
      </c>
      <c r="AM74" t="s">
        <v>365</v>
      </c>
      <c r="AN74" t="str">
        <f>RTD("rtdtrading.rtdserver",, "VAMO3_B_0", "DAT")</f>
        <v>14/10/2025</v>
      </c>
      <c r="AO74" t="str">
        <f>RTD("rtdtrading.rtdserver",, "VAMO3_B_0", "HOR")</f>
        <v>17:07:30</v>
      </c>
      <c r="AP74">
        <f>RTD("rtdtrading.rtdserver",, "VAMO3_B_0", "ULT")</f>
        <v>2.9000000000000004</v>
      </c>
      <c r="AQ74">
        <f>RTD("rtdtrading.rtdserver",, "VAMO3_B_0", "ABE")</f>
        <v>2.92</v>
      </c>
      <c r="AR74">
        <f>RTD("rtdtrading.rtdserver",, "VAMO3_B_0", "MAX")</f>
        <v>2.98</v>
      </c>
      <c r="AS74">
        <f>RTD("rtdtrading.rtdserver",, "VAMO3_B_0", "MIN")</f>
        <v>2.89</v>
      </c>
      <c r="AT74">
        <f>RTD("rtdtrading.rtdserver",, "VAMO3_B_0", "FEC")</f>
        <v>2.93</v>
      </c>
      <c r="AU74">
        <f>RTD("rtdtrading.rtdserver",, "VAMO3_B_0", "PEX")</f>
        <v>0</v>
      </c>
      <c r="AV74">
        <f>RTD("rtdtrading.rtdserver",, "VAMO3_B_0", "VAR")</f>
        <v>-1.0238907849829284</v>
      </c>
      <c r="AW74">
        <f>RTD("rtdtrading.rtdserver",, "VAMO3_B_0", "VARPTS")</f>
        <v>-2.9999999999999805E-2</v>
      </c>
      <c r="AX74">
        <f>RTD("rtdtrading.rtdserver",, "VAMO3_B_0", "MED")</f>
        <v>2.9325371369756317</v>
      </c>
      <c r="AY74" t="s">
        <v>366</v>
      </c>
      <c r="AZ74">
        <f>RTD("rtdtrading.rtdserver",, "VAMO3_B_0", "NEG")</f>
        <v>7577</v>
      </c>
      <c r="BA74">
        <f>RTD("rtdtrading.rtdserver",, "VAMO3_B_0", "QUL")</f>
        <v>0</v>
      </c>
      <c r="BB74">
        <f>RTD("rtdtrading.rtdserver",, "VAMO3_B_0", "QTT")</f>
        <v>14379200</v>
      </c>
      <c r="BC74">
        <f>RTD("rtdtrading.rtdserver",, "VAMO3_B_0", "VOL")</f>
        <v>42167538</v>
      </c>
      <c r="BD74">
        <f>RTD("rtdtrading.rtdserver",, "VAMO3_B_0", "OCP")</f>
        <v>2.9</v>
      </c>
      <c r="BE74">
        <f>RTD("rtdtrading.rtdserver",, "VAMO3_B_0", "OVD")</f>
        <v>2.94</v>
      </c>
      <c r="BF74">
        <f>RTD("rtdtrading.rtdserver",, "VAMO3_B_0", "VOC")</f>
        <v>5200</v>
      </c>
      <c r="BG74">
        <f>RTD("rtdtrading.rtdserver",, "VAMO3_B_0", "VOV")</f>
        <v>4100</v>
      </c>
      <c r="BH74">
        <f>RTD("rtdtrading.rtdserver",, "VAMO3_B_0", "AJU")</f>
        <v>0</v>
      </c>
      <c r="BI74">
        <f>RTD("rtdtrading.rtdserver",, "VAMO3_B_0", "AJA")</f>
        <v>0</v>
      </c>
      <c r="BJ74">
        <f>RTD("rtdtrading.rtdserver",, "VAMO3_B_0", "PRT")</f>
        <v>0</v>
      </c>
      <c r="BK74">
        <f>RTD("rtdtrading.rtdserver",, "VAMO3_B_0", "QTE")</f>
        <v>0</v>
      </c>
      <c r="BL74">
        <f>RTD("rtdtrading.rtdserver",, "VAMO3_B_0", "VPJ")</f>
        <v>42167538</v>
      </c>
      <c r="BM74">
        <f>RTD("rtdtrading.rtdserver",, "VAMO3_B_0", "SEM")</f>
        <v>-1.6949152542372818</v>
      </c>
      <c r="BN74">
        <f>RTD("rtdtrading.rtdserver",, "VAMO3_B_0", "MES")</f>
        <v>-15.942028985507239</v>
      </c>
      <c r="BO74">
        <f>RTD("rtdtrading.rtdserver",, "VAMO3_B_0", "3M")</f>
        <v>-26.767676767676768</v>
      </c>
      <c r="BP74">
        <f>RTD("rtdtrading.rtdserver",, "VAMO3_B_0", "6M")</f>
        <v>-40.45174537987679</v>
      </c>
      <c r="BQ74">
        <f>RTD("rtdtrading.rtdserver",, "VAMO3_B_0", "12M")</f>
        <v>-44.165270798436623</v>
      </c>
      <c r="BR74">
        <f>RTD("rtdtrading.rtdserver",, "VAMO3_B_0", "ANO")</f>
        <v>-38.947368421052623</v>
      </c>
      <c r="BS74">
        <f>RTD("rtdtrading.rtdserver",, "VAMO3_B_0", "TRIM")</f>
        <v>-15.942028985507239</v>
      </c>
      <c r="BT74">
        <f>RTD("rtdtrading.rtdserver",, "VAMO3_B_0", "SEMES")</f>
        <v>-30.62200956937799</v>
      </c>
      <c r="BU74" t="str">
        <f>RTD("rtdtrading.rtdserver",, "VAMO3_B_0", "VEN")</f>
        <v>-</v>
      </c>
      <c r="BV74" t="str">
        <f>RTD("rtdtrading.rtdserver",, "VAMO3_B_0", "VAL")</f>
        <v>31/12/9999</v>
      </c>
      <c r="BW74">
        <f>RTD("rtdtrading.rtdserver",, "VAMO3_B_0", "CAB")</f>
        <v>0</v>
      </c>
      <c r="BX74" t="str">
        <f>RTD("rtdtrading.rtdserver",, "VAMO3_B_0", "EST")</f>
        <v>Pré-Fechamento</v>
      </c>
      <c r="BY74" t="str">
        <f>RTD("rtdtrading.rtdserver",, "VAMO3_B_0", "BLACK")</f>
        <v>-</v>
      </c>
      <c r="BZ74" t="str">
        <f>RTD("rtdtrading.rtdserver",, "VAMO3_B_0", "IMPVT")</f>
        <v>-</v>
      </c>
      <c r="CA74" t="str">
        <f>RTD("rtdtrading.rtdserver",, "VAMO3_B_0", "DELTA")</f>
        <v>-</v>
      </c>
      <c r="CB74" t="str">
        <f>RTD("rtdtrading.rtdserver",, "VAMO3_B_0", "GAMA")</f>
        <v>-</v>
      </c>
      <c r="CC74" t="str">
        <f>RTD("rtdtrading.rtdserver",, "VAMO3_B_0", "THETA")</f>
        <v>-</v>
      </c>
      <c r="CD74" t="str">
        <f>RTD("rtdtrading.rtdserver",, "VAMO3_B_0", "RHO")</f>
        <v>-</v>
      </c>
      <c r="CE74" t="str">
        <f>RTD("rtdtrading.rtdserver",, "VAMO3_B_0", "VEGA")</f>
        <v>-</v>
      </c>
      <c r="CF74" t="str">
        <f>RTD("rtdtrading.rtdserver",, "VAMO3_B_0", "VIA")</f>
        <v>-</v>
      </c>
      <c r="CG74" t="str">
        <f>RTD("rtdtrading.rtdserver",, "VAMO3_B_0", "VIB")</f>
        <v>-</v>
      </c>
      <c r="CH74" t="str">
        <f>RTD("rtdtrading.rtdserver",, "VAMO3_B_0", "DOBRAR")</f>
        <v>-</v>
      </c>
      <c r="CI74" t="str">
        <f>RTD("rtdtrading.rtdserver",, "VAMO3_B_0", "VIVH")</f>
        <v>-</v>
      </c>
      <c r="CJ74" t="str">
        <f>RTD("rtdtrading.rtdserver",, "VAMO3_B_0", "VINT")</f>
        <v>-</v>
      </c>
      <c r="CK74" t="str">
        <f>RTD("rtdtrading.rtdserver",, "VAMO3_B_0", "VEXT")</f>
        <v>-</v>
      </c>
    </row>
    <row r="75" spans="2:89" x14ac:dyDescent="0.25">
      <c r="B75" t="s">
        <v>211</v>
      </c>
      <c r="C75" t="s">
        <v>375</v>
      </c>
      <c r="D75" t="s">
        <v>142</v>
      </c>
      <c r="E75" s="76">
        <v>645082079</v>
      </c>
      <c r="F75">
        <v>1.4550000000000001</v>
      </c>
      <c r="J75" s="3">
        <f>RTD("rtdtrading.rtdserver",, $B75&amp;"_B_0", J$4)</f>
        <v>48.21</v>
      </c>
      <c r="K75" s="3">
        <f>RTD("rtdtrading.rtdserver",, $B75&amp;"_B_0", K$4)</f>
        <v>47.99</v>
      </c>
      <c r="L75" s="3">
        <f>RTD("rtdtrading.rtdserver",, $B75&amp;"_B_0", L$4)</f>
        <v>0</v>
      </c>
      <c r="M75" s="3">
        <f t="shared" si="15"/>
        <v>47.99</v>
      </c>
      <c r="O75" s="33">
        <f t="shared" si="16"/>
        <v>2061.2694720751956</v>
      </c>
      <c r="P75" s="10">
        <f t="shared" si="13"/>
        <v>-4.5633685957270353E-3</v>
      </c>
      <c r="Q75">
        <v>6.9999999999999994E-5</v>
      </c>
      <c r="R75" s="17">
        <f t="shared" si="17"/>
        <v>-4.4933685957270356E-3</v>
      </c>
      <c r="S75">
        <v>70</v>
      </c>
      <c r="T75" s="10" t="str">
        <f t="shared" si="18"/>
        <v>B3SA3</v>
      </c>
      <c r="U75" s="10">
        <f t="shared" si="14"/>
        <v>-1.2582512981903998E-2</v>
      </c>
      <c r="V75" t="str">
        <f t="shared" si="19"/>
        <v/>
      </c>
      <c r="W75" s="10" t="str">
        <f t="shared" si="20"/>
        <v>CPFE3</v>
      </c>
      <c r="X75" s="10">
        <f t="shared" si="21"/>
        <v>1.1751969760166854E-2</v>
      </c>
      <c r="Y75" s="33">
        <f t="shared" si="22"/>
        <v>2061.2694720751956</v>
      </c>
      <c r="Z75" s="80">
        <f t="shared" si="23"/>
        <v>0</v>
      </c>
      <c r="AM75" t="s">
        <v>369</v>
      </c>
      <c r="AN75" t="str">
        <f>RTD("rtdtrading.rtdserver",, "DXCO3_B_0", "DAT")</f>
        <v>14/10/2025</v>
      </c>
      <c r="AO75" t="str">
        <f>RTD("rtdtrading.rtdserver",, "DXCO3_B_0", "HOR")</f>
        <v>17:06:00</v>
      </c>
      <c r="AP75">
        <f>RTD("rtdtrading.rtdserver",, "DXCO3_B_0", "ULT")</f>
        <v>4.9700000000000006</v>
      </c>
      <c r="AQ75">
        <f>RTD("rtdtrading.rtdserver",, "DXCO3_B_0", "ABE")</f>
        <v>5.1100000000000003</v>
      </c>
      <c r="AR75">
        <f>RTD("rtdtrading.rtdserver",, "DXCO3_B_0", "MAX")</f>
        <v>5.1100000000000003</v>
      </c>
      <c r="AS75">
        <f>RTD("rtdtrading.rtdserver",, "DXCO3_B_0", "MIN")</f>
        <v>4.97</v>
      </c>
      <c r="AT75">
        <f>RTD("rtdtrading.rtdserver",, "DXCO3_B_0", "FEC")</f>
        <v>5.0200000000000005</v>
      </c>
      <c r="AU75">
        <f>RTD("rtdtrading.rtdserver",, "DXCO3_B_0", "PEX")</f>
        <v>0</v>
      </c>
      <c r="AV75">
        <f>RTD("rtdtrading.rtdserver",, "DXCO3_B_0", "VAR")</f>
        <v>-0.99601593625497642</v>
      </c>
      <c r="AW75">
        <f>RTD("rtdtrading.rtdserver",, "DXCO3_B_0", "VARPTS")</f>
        <v>-4.9999999999999822E-2</v>
      </c>
      <c r="AX75">
        <f>RTD("rtdtrading.rtdserver",, "DXCO3_B_0", "MED")</f>
        <v>5.0079813296453617</v>
      </c>
      <c r="AY75" t="s">
        <v>370</v>
      </c>
      <c r="AZ75">
        <f>RTD("rtdtrading.rtdserver",, "DXCO3_B_0", "NEG")</f>
        <v>4395</v>
      </c>
      <c r="BA75">
        <f>RTD("rtdtrading.rtdserver",, "DXCO3_B_0", "QUL")</f>
        <v>0</v>
      </c>
      <c r="BB75">
        <f>RTD("rtdtrading.rtdserver",, "DXCO3_B_0", "QTT")</f>
        <v>2024600</v>
      </c>
      <c r="BC75">
        <f>RTD("rtdtrading.rtdserver",, "DXCO3_B_0", "VOL")</f>
        <v>10139159</v>
      </c>
      <c r="BD75">
        <f>RTD("rtdtrading.rtdserver",, "DXCO3_B_0", "OCP")</f>
        <v>4.96</v>
      </c>
      <c r="BE75">
        <f>RTD("rtdtrading.rtdserver",, "DXCO3_B_0", "OVD")</f>
        <v>5.1100000000000003</v>
      </c>
      <c r="BF75">
        <f>RTD("rtdtrading.rtdserver",, "DXCO3_B_0", "VOC")</f>
        <v>3100</v>
      </c>
      <c r="BG75">
        <f>RTD("rtdtrading.rtdserver",, "DXCO3_B_0", "VOV")</f>
        <v>700</v>
      </c>
      <c r="BH75">
        <f>RTD("rtdtrading.rtdserver",, "DXCO3_B_0", "AJU")</f>
        <v>0</v>
      </c>
      <c r="BI75">
        <f>RTD("rtdtrading.rtdserver",, "DXCO3_B_0", "AJA")</f>
        <v>0</v>
      </c>
      <c r="BJ75">
        <f>RTD("rtdtrading.rtdserver",, "DXCO3_B_0", "PRT")</f>
        <v>0</v>
      </c>
      <c r="BK75">
        <f>RTD("rtdtrading.rtdserver",, "DXCO3_B_0", "QTE")</f>
        <v>0</v>
      </c>
      <c r="BL75">
        <f>RTD("rtdtrading.rtdserver",, "DXCO3_B_0", "VPJ")</f>
        <v>10139159</v>
      </c>
      <c r="BM75">
        <f>RTD("rtdtrading.rtdserver",, "DXCO3_B_0", "SEM")</f>
        <v>-0.59999999999998721</v>
      </c>
      <c r="BN75">
        <f>RTD("rtdtrading.rtdserver",, "DXCO3_B_0", "MES")</f>
        <v>-14.310344827586208</v>
      </c>
      <c r="BO75">
        <f>RTD("rtdtrading.rtdserver",, "DXCO3_B_0", "3M")</f>
        <v>-5.5133079847908748</v>
      </c>
      <c r="BP75">
        <f>RTD("rtdtrading.rtdserver",, "DXCO3_B_0", "6M")</f>
        <v>-4.4230769230769145</v>
      </c>
      <c r="BQ75">
        <f>RTD("rtdtrading.rtdserver",, "DXCO3_B_0", "12M")</f>
        <v>-37.628633100747955</v>
      </c>
      <c r="BR75">
        <f>RTD("rtdtrading.rtdserver",, "DXCO3_B_0", "ANO")</f>
        <v>-16.501461644433984</v>
      </c>
      <c r="BS75">
        <f>RTD("rtdtrading.rtdserver",, "DXCO3_B_0", "TRIM")</f>
        <v>-14.310344827586208</v>
      </c>
      <c r="BT75">
        <f>RTD("rtdtrading.rtdserver",, "DXCO3_B_0", "SEMES")</f>
        <v>-12.345679012345666</v>
      </c>
      <c r="BU75" t="str">
        <f>RTD("rtdtrading.rtdserver",, "DXCO3_B_0", "VEN")</f>
        <v>-</v>
      </c>
      <c r="BV75" t="str">
        <f>RTD("rtdtrading.rtdserver",, "DXCO3_B_0", "VAL")</f>
        <v>31/12/9999</v>
      </c>
      <c r="BW75">
        <f>RTD("rtdtrading.rtdserver",, "DXCO3_B_0", "CAB")</f>
        <v>0</v>
      </c>
      <c r="BX75" t="str">
        <f>RTD("rtdtrading.rtdserver",, "DXCO3_B_0", "EST")</f>
        <v>Pré-Fechamento</v>
      </c>
      <c r="BY75" t="str">
        <f>RTD("rtdtrading.rtdserver",, "DXCO3_B_0", "BLACK")</f>
        <v>-</v>
      </c>
      <c r="BZ75" t="str">
        <f>RTD("rtdtrading.rtdserver",, "DXCO3_B_0", "IMPVT")</f>
        <v>-</v>
      </c>
      <c r="CA75" t="str">
        <f>RTD("rtdtrading.rtdserver",, "DXCO3_B_0", "DELTA")</f>
        <v>-</v>
      </c>
      <c r="CB75" t="str">
        <f>RTD("rtdtrading.rtdserver",, "DXCO3_B_0", "GAMA")</f>
        <v>-</v>
      </c>
      <c r="CC75" t="str">
        <f>RTD("rtdtrading.rtdserver",, "DXCO3_B_0", "THETA")</f>
        <v>-</v>
      </c>
      <c r="CD75" t="str">
        <f>RTD("rtdtrading.rtdserver",, "DXCO3_B_0", "RHO")</f>
        <v>-</v>
      </c>
      <c r="CE75" t="str">
        <f>RTD("rtdtrading.rtdserver",, "DXCO3_B_0", "VEGA")</f>
        <v>-</v>
      </c>
      <c r="CF75" t="str">
        <f>RTD("rtdtrading.rtdserver",, "DXCO3_B_0", "VIA")</f>
        <v>-</v>
      </c>
      <c r="CG75" t="str">
        <f>RTD("rtdtrading.rtdserver",, "DXCO3_B_0", "VIB")</f>
        <v>-</v>
      </c>
      <c r="CH75" t="str">
        <f>RTD("rtdtrading.rtdserver",, "DXCO3_B_0", "DOBRAR")</f>
        <v>-</v>
      </c>
      <c r="CI75" t="str">
        <f>RTD("rtdtrading.rtdserver",, "DXCO3_B_0", "VIVH")</f>
        <v>-</v>
      </c>
      <c r="CJ75" t="str">
        <f>RTD("rtdtrading.rtdserver",, "DXCO3_B_0", "VINT")</f>
        <v>-</v>
      </c>
      <c r="CK75" t="str">
        <f>RTD("rtdtrading.rtdserver",, "DXCO3_B_0", "VEXT")</f>
        <v>-</v>
      </c>
    </row>
    <row r="76" spans="2:89" x14ac:dyDescent="0.25">
      <c r="B76" t="s">
        <v>377</v>
      </c>
      <c r="C76" t="s">
        <v>378</v>
      </c>
      <c r="D76" t="s">
        <v>192</v>
      </c>
      <c r="E76" s="76">
        <v>218568234</v>
      </c>
      <c r="F76">
        <v>0.36799999999999999</v>
      </c>
      <c r="J76" s="3">
        <f>RTD("rtdtrading.rtdserver",, $B76&amp;"_B_0", J$4)</f>
        <v>36.020000000000003</v>
      </c>
      <c r="K76" s="3">
        <f>RTD("rtdtrading.rtdserver",, $B76&amp;"_B_0", K$4)</f>
        <v>35.85</v>
      </c>
      <c r="L76" s="3">
        <f>RTD("rtdtrading.rtdserver",, $B76&amp;"_B_0", L$4)</f>
        <v>0</v>
      </c>
      <c r="M76" s="3">
        <f t="shared" si="15"/>
        <v>35.85</v>
      </c>
      <c r="O76" s="33">
        <f t="shared" si="16"/>
        <v>521.72932468519366</v>
      </c>
      <c r="P76" s="10">
        <f t="shared" si="13"/>
        <v>-4.7196002220988298E-3</v>
      </c>
      <c r="Q76">
        <v>7.1000000000000005E-5</v>
      </c>
      <c r="R76" s="17">
        <f t="shared" si="17"/>
        <v>-4.6486002220988299E-3</v>
      </c>
      <c r="S76">
        <v>71</v>
      </c>
      <c r="T76" s="10" t="str">
        <f t="shared" si="18"/>
        <v>WEGE3</v>
      </c>
      <c r="U76" s="10">
        <f t="shared" si="14"/>
        <v>-1.3396801268499068E-2</v>
      </c>
      <c r="V76" t="str">
        <f t="shared" si="19"/>
        <v/>
      </c>
      <c r="W76" s="10" t="str">
        <f t="shared" si="20"/>
        <v>BRKM5</v>
      </c>
      <c r="X76" s="10">
        <f t="shared" si="21"/>
        <v>1.2281938650306677E-2</v>
      </c>
      <c r="Y76" s="33">
        <f t="shared" si="22"/>
        <v>521.72932468519366</v>
      </c>
      <c r="Z76" s="80">
        <f t="shared" si="23"/>
        <v>0</v>
      </c>
      <c r="AM76" t="s">
        <v>373</v>
      </c>
      <c r="AN76" t="str">
        <f>RTD("rtdtrading.rtdserver",, "RAPT4_B_0", "DAT")</f>
        <v>14/10/2025</v>
      </c>
      <c r="AO76" t="str">
        <f>RTD("rtdtrading.rtdserver",, "RAPT4_B_0", "HOR")</f>
        <v>17:07:00</v>
      </c>
      <c r="AP76">
        <f>RTD("rtdtrading.rtdserver",, "RAPT4_B_0", "ULT")</f>
        <v>5.29</v>
      </c>
      <c r="AQ76">
        <f>RTD("rtdtrading.rtdserver",, "RAPT4_B_0", "ABE")</f>
        <v>5.17</v>
      </c>
      <c r="AR76">
        <f>RTD("rtdtrading.rtdserver",, "RAPT4_B_0", "MAX")</f>
        <v>5.33</v>
      </c>
      <c r="AS76">
        <f>RTD("rtdtrading.rtdserver",, "RAPT4_B_0", "MIN")</f>
        <v>5.16</v>
      </c>
      <c r="AT76">
        <f>RTD("rtdtrading.rtdserver",, "RAPT4_B_0", "FEC")</f>
        <v>5.24</v>
      </c>
      <c r="AU76">
        <f>RTD("rtdtrading.rtdserver",, "RAPT4_B_0", "PEX")</f>
        <v>0</v>
      </c>
      <c r="AV76">
        <f>RTD("rtdtrading.rtdserver",, "RAPT4_B_0", "VAR")</f>
        <v>0.95419847328243934</v>
      </c>
      <c r="AW76">
        <f>RTD("rtdtrading.rtdserver",, "RAPT4_B_0", "VARPTS")</f>
        <v>4.9999999999999822E-2</v>
      </c>
      <c r="AX76">
        <f>RTD("rtdtrading.rtdserver",, "RAPT4_B_0", "MED")</f>
        <v>5.2600153982824995</v>
      </c>
      <c r="AY76" t="s">
        <v>374</v>
      </c>
      <c r="AZ76">
        <f>RTD("rtdtrading.rtdserver",, "RAPT4_B_0", "NEG")</f>
        <v>2778</v>
      </c>
      <c r="BA76">
        <f>RTD("rtdtrading.rtdserver",, "RAPT4_B_0", "QUL")</f>
        <v>0</v>
      </c>
      <c r="BB76">
        <f>RTD("rtdtrading.rtdserver",, "RAPT4_B_0", "QTT")</f>
        <v>1688500</v>
      </c>
      <c r="BC76">
        <f>RTD("rtdtrading.rtdserver",, "RAPT4_B_0", "VOL")</f>
        <v>8881536</v>
      </c>
      <c r="BD76">
        <f>RTD("rtdtrading.rtdserver",, "RAPT4_B_0", "OCP")</f>
        <v>5.22</v>
      </c>
      <c r="BE76">
        <f>RTD("rtdtrading.rtdserver",, "RAPT4_B_0", "OVD")</f>
        <v>5.3100000000000005</v>
      </c>
      <c r="BF76">
        <f>RTD("rtdtrading.rtdserver",, "RAPT4_B_0", "VOC")</f>
        <v>200</v>
      </c>
      <c r="BG76">
        <f>RTD("rtdtrading.rtdserver",, "RAPT4_B_0", "VOV")</f>
        <v>100</v>
      </c>
      <c r="BH76">
        <f>RTD("rtdtrading.rtdserver",, "RAPT4_B_0", "AJU")</f>
        <v>0</v>
      </c>
      <c r="BI76">
        <f>RTD("rtdtrading.rtdserver",, "RAPT4_B_0", "AJA")</f>
        <v>0</v>
      </c>
      <c r="BJ76">
        <f>RTD("rtdtrading.rtdserver",, "RAPT4_B_0", "PRT")</f>
        <v>0</v>
      </c>
      <c r="BK76">
        <f>RTD("rtdtrading.rtdserver",, "RAPT4_B_0", "QTE")</f>
        <v>0</v>
      </c>
      <c r="BL76">
        <f>RTD("rtdtrading.rtdserver",, "RAPT4_B_0", "VPJ")</f>
        <v>8881536</v>
      </c>
      <c r="BM76">
        <f>RTD("rtdtrading.rtdserver",, "RAPT4_B_0", "SEM")</f>
        <v>0.18939393939393534</v>
      </c>
      <c r="BN76">
        <f>RTD("rtdtrading.rtdserver",, "RAPT4_B_0", "MES")</f>
        <v>-13.983739837398378</v>
      </c>
      <c r="BO76">
        <f>RTD("rtdtrading.rtdserver",, "RAPT4_B_0", "3M")</f>
        <v>-34.529702970297024</v>
      </c>
      <c r="BP76">
        <f>RTD("rtdtrading.rtdserver",, "RAPT4_B_0", "6M")</f>
        <v>-33.361886526252142</v>
      </c>
      <c r="BQ76">
        <f>RTD("rtdtrading.rtdserver",, "RAPT4_B_0", "12M")</f>
        <v>-49.547934231106709</v>
      </c>
      <c r="BR76">
        <f>RTD("rtdtrading.rtdserver",, "RAPT4_B_0", "ANO")</f>
        <v>-46.285691076723126</v>
      </c>
      <c r="BS76">
        <f>RTD("rtdtrading.rtdserver",, "RAPT4_B_0", "TRIM")</f>
        <v>-13.983739837398378</v>
      </c>
      <c r="BT76">
        <f>RTD("rtdtrading.rtdserver",, "RAPT4_B_0", "SEMES")</f>
        <v>-40.628507295173961</v>
      </c>
      <c r="BU76" t="str">
        <f>RTD("rtdtrading.rtdserver",, "RAPT4_B_0", "VEN")</f>
        <v>-</v>
      </c>
      <c r="BV76" t="str">
        <f>RTD("rtdtrading.rtdserver",, "RAPT4_B_0", "VAL")</f>
        <v>31/12/9999</v>
      </c>
      <c r="BW76">
        <f>RTD("rtdtrading.rtdserver",, "RAPT4_B_0", "CAB")</f>
        <v>0</v>
      </c>
      <c r="BX76" t="str">
        <f>RTD("rtdtrading.rtdserver",, "RAPT4_B_0", "EST")</f>
        <v>Pré-Fechamento</v>
      </c>
      <c r="BY76" t="str">
        <f>RTD("rtdtrading.rtdserver",, "RAPT4_B_0", "BLACK")</f>
        <v>-</v>
      </c>
      <c r="BZ76" t="str">
        <f>RTD("rtdtrading.rtdserver",, "RAPT4_B_0", "IMPVT")</f>
        <v>-</v>
      </c>
      <c r="CA76" t="str">
        <f>RTD("rtdtrading.rtdserver",, "RAPT4_B_0", "DELTA")</f>
        <v>-</v>
      </c>
      <c r="CB76" t="str">
        <f>RTD("rtdtrading.rtdserver",, "RAPT4_B_0", "GAMA")</f>
        <v>-</v>
      </c>
      <c r="CC76" t="str">
        <f>RTD("rtdtrading.rtdserver",, "RAPT4_B_0", "THETA")</f>
        <v>-</v>
      </c>
      <c r="CD76" t="str">
        <f>RTD("rtdtrading.rtdserver",, "RAPT4_B_0", "RHO")</f>
        <v>-</v>
      </c>
      <c r="CE76" t="str">
        <f>RTD("rtdtrading.rtdserver",, "RAPT4_B_0", "VEGA")</f>
        <v>-</v>
      </c>
      <c r="CF76" t="str">
        <f>RTD("rtdtrading.rtdserver",, "RAPT4_B_0", "VIA")</f>
        <v>-</v>
      </c>
      <c r="CG76" t="str">
        <f>RTD("rtdtrading.rtdserver",, "RAPT4_B_0", "VIB")</f>
        <v>-</v>
      </c>
      <c r="CH76" t="str">
        <f>RTD("rtdtrading.rtdserver",, "RAPT4_B_0", "DOBRAR")</f>
        <v>-</v>
      </c>
      <c r="CI76" t="str">
        <f>RTD("rtdtrading.rtdserver",, "RAPT4_B_0", "VIVH")</f>
        <v>-</v>
      </c>
      <c r="CJ76" t="str">
        <f>RTD("rtdtrading.rtdserver",, "RAPT4_B_0", "VINT")</f>
        <v>-</v>
      </c>
      <c r="CK76" t="str">
        <f>RTD("rtdtrading.rtdserver",, "RAPT4_B_0", "VEXT")</f>
        <v>-</v>
      </c>
    </row>
    <row r="77" spans="2:89" x14ac:dyDescent="0.25">
      <c r="B77" t="s">
        <v>148</v>
      </c>
      <c r="C77" t="s">
        <v>381</v>
      </c>
      <c r="D77" t="s">
        <v>135</v>
      </c>
      <c r="E77" s="76">
        <v>738065812</v>
      </c>
      <c r="F77">
        <v>1.1200000000000001</v>
      </c>
      <c r="J77" s="3">
        <f>RTD("rtdtrading.rtdserver",, $B77&amp;"_B_0", J$4)</f>
        <v>32.270000000000003</v>
      </c>
      <c r="K77" s="3">
        <f>RTD("rtdtrading.rtdserver",, $B77&amp;"_B_0", K$4)</f>
        <v>32.29</v>
      </c>
      <c r="L77" s="3">
        <f>RTD("rtdtrading.rtdserver",, $B77&amp;"_B_0", L$4)</f>
        <v>0</v>
      </c>
      <c r="M77" s="3">
        <f t="shared" si="15"/>
        <v>32.29</v>
      </c>
      <c r="O77" s="33">
        <f t="shared" si="16"/>
        <v>1586.836488304059</v>
      </c>
      <c r="P77" s="10">
        <f t="shared" si="13"/>
        <v>6.197706848465323E-4</v>
      </c>
      <c r="Q77">
        <v>7.2000000000000002E-5</v>
      </c>
      <c r="R77" s="17">
        <f t="shared" si="17"/>
        <v>6.9177068484653232E-4</v>
      </c>
      <c r="S77">
        <v>72</v>
      </c>
      <c r="T77" s="10" t="str">
        <f t="shared" si="18"/>
        <v>UGPA3</v>
      </c>
      <c r="U77" s="10">
        <f t="shared" si="14"/>
        <v>-1.4404215319943894E-2</v>
      </c>
      <c r="V77" t="str">
        <f t="shared" si="19"/>
        <v/>
      </c>
      <c r="W77" s="10" t="str">
        <f t="shared" si="20"/>
        <v>LREN3</v>
      </c>
      <c r="X77" s="10">
        <f t="shared" si="21"/>
        <v>1.2775844413012613E-2</v>
      </c>
      <c r="Y77" s="33">
        <f t="shared" si="22"/>
        <v>1586.836488304059</v>
      </c>
      <c r="Z77" s="80">
        <f t="shared" si="23"/>
        <v>0</v>
      </c>
      <c r="AM77" t="s">
        <v>342</v>
      </c>
      <c r="AN77" t="str">
        <f>RTD("rtdtrading.rtdserver",, "RAIZ4_B_0", "DAT")</f>
        <v>14/10/2025</v>
      </c>
      <c r="AO77" t="str">
        <f>RTD("rtdtrading.rtdserver",, "RAIZ4_B_0", "HOR")</f>
        <v>17:07:42</v>
      </c>
      <c r="AP77">
        <f>RTD("rtdtrading.rtdserver",, "RAIZ4_B_0", "ULT")</f>
        <v>0.88</v>
      </c>
      <c r="AQ77">
        <f>RTD("rtdtrading.rtdserver",, "RAIZ4_B_0", "ABE")</f>
        <v>0.85</v>
      </c>
      <c r="AR77">
        <f>RTD("rtdtrading.rtdserver",, "RAIZ4_B_0", "MAX")</f>
        <v>0.9</v>
      </c>
      <c r="AS77">
        <f>RTD("rtdtrading.rtdserver",, "RAIZ4_B_0", "MIN")</f>
        <v>0.84</v>
      </c>
      <c r="AT77">
        <f>RTD("rtdtrading.rtdserver",, "RAIZ4_B_0", "FEC")</f>
        <v>0.85000000000000009</v>
      </c>
      <c r="AU77">
        <f>RTD("rtdtrading.rtdserver",, "RAIZ4_B_0", "PEX")</f>
        <v>0</v>
      </c>
      <c r="AV77">
        <f>RTD("rtdtrading.rtdserver",, "RAIZ4_B_0", "VAR")</f>
        <v>3.529411764705872</v>
      </c>
      <c r="AW77">
        <f>RTD("rtdtrading.rtdserver",, "RAIZ4_B_0", "VARPTS")</f>
        <v>2.9999999999999916E-2</v>
      </c>
      <c r="AX77">
        <f>RTD("rtdtrading.rtdserver",, "RAIZ4_B_0", "MED")</f>
        <v>0.87558850889947015</v>
      </c>
      <c r="AY77" t="s">
        <v>376</v>
      </c>
      <c r="AZ77">
        <f>RTD("rtdtrading.rtdserver",, "RAIZ4_B_0", "NEG")</f>
        <v>5936</v>
      </c>
      <c r="BA77">
        <f>RTD("rtdtrading.rtdserver",, "RAIZ4_B_0", "QUL")</f>
        <v>0</v>
      </c>
      <c r="BB77">
        <f>RTD("rtdtrading.rtdserver",, "RAIZ4_B_0", "QTT")</f>
        <v>14512100</v>
      </c>
      <c r="BC77">
        <f>RTD("rtdtrading.rtdserver",, "RAIZ4_B_0", "VOL")</f>
        <v>12706628</v>
      </c>
      <c r="BD77">
        <f>RTD("rtdtrading.rtdserver",, "RAIZ4_B_0", "OCP")</f>
        <v>0.87</v>
      </c>
      <c r="BE77">
        <f>RTD("rtdtrading.rtdserver",, "RAIZ4_B_0", "OVD")</f>
        <v>0.88</v>
      </c>
      <c r="BF77">
        <f>RTD("rtdtrading.rtdserver",, "RAIZ4_B_0", "VOC")</f>
        <v>82200</v>
      </c>
      <c r="BG77">
        <f>RTD("rtdtrading.rtdserver",, "RAIZ4_B_0", "VOV")</f>
        <v>7700</v>
      </c>
      <c r="BH77">
        <f>RTD("rtdtrading.rtdserver",, "RAIZ4_B_0", "AJU")</f>
        <v>0</v>
      </c>
      <c r="BI77">
        <f>RTD("rtdtrading.rtdserver",, "RAIZ4_B_0", "AJA")</f>
        <v>0</v>
      </c>
      <c r="BJ77">
        <f>RTD("rtdtrading.rtdserver",, "RAIZ4_B_0", "PRT")</f>
        <v>0</v>
      </c>
      <c r="BK77">
        <f>RTD("rtdtrading.rtdserver",, "RAIZ4_B_0", "QTE")</f>
        <v>0</v>
      </c>
      <c r="BL77">
        <f>RTD("rtdtrading.rtdserver",, "RAIZ4_B_0", "VPJ")</f>
        <v>12706628</v>
      </c>
      <c r="BM77">
        <f>RTD("rtdtrading.rtdserver",, "RAIZ4_B_0", "SEM")</f>
        <v>1.1494252873563229</v>
      </c>
      <c r="BN77">
        <f>RTD("rtdtrading.rtdserver",, "RAIZ4_B_0", "MES")</f>
        <v>-13.725490196078432</v>
      </c>
      <c r="BO77">
        <f>RTD("rtdtrading.rtdserver",, "RAIZ4_B_0", "3M")</f>
        <v>-42.483660130718953</v>
      </c>
      <c r="BP77">
        <f>RTD("rtdtrading.rtdserver",, "RAIZ4_B_0", "6M")</f>
        <v>-50</v>
      </c>
      <c r="BQ77">
        <f>RTD("rtdtrading.rtdserver",, "RAIZ4_B_0", "12M")</f>
        <v>-70.169491525423737</v>
      </c>
      <c r="BR77">
        <f>RTD("rtdtrading.rtdserver",, "RAIZ4_B_0", "ANO")</f>
        <v>-59.259259259259267</v>
      </c>
      <c r="BS77">
        <f>RTD("rtdtrading.rtdserver",, "RAIZ4_B_0", "TRIM")</f>
        <v>-13.725490196078432</v>
      </c>
      <c r="BT77">
        <f>RTD("rtdtrading.rtdserver",, "RAIZ4_B_0", "SEMES")</f>
        <v>-46.666666666666671</v>
      </c>
      <c r="BU77" t="str">
        <f>RTD("rtdtrading.rtdserver",, "RAIZ4_B_0", "VEN")</f>
        <v>-</v>
      </c>
      <c r="BV77" t="str">
        <f>RTD("rtdtrading.rtdserver",, "RAIZ4_B_0", "VAL")</f>
        <v>31/12/9999</v>
      </c>
      <c r="BW77">
        <f>RTD("rtdtrading.rtdserver",, "RAIZ4_B_0", "CAB")</f>
        <v>0</v>
      </c>
      <c r="BX77" t="str">
        <f>RTD("rtdtrading.rtdserver",, "RAIZ4_B_0", "EST")</f>
        <v>Pré-Fechamento</v>
      </c>
      <c r="BY77" t="str">
        <f>RTD("rtdtrading.rtdserver",, "RAIZ4_B_0", "BLACK")</f>
        <v>-</v>
      </c>
      <c r="BZ77" t="str">
        <f>RTD("rtdtrading.rtdserver",, "RAIZ4_B_0", "IMPVT")</f>
        <v>-</v>
      </c>
      <c r="CA77" t="str">
        <f>RTD("rtdtrading.rtdserver",, "RAIZ4_B_0", "DELTA")</f>
        <v>-</v>
      </c>
      <c r="CB77" t="str">
        <f>RTD("rtdtrading.rtdserver",, "RAIZ4_B_0", "GAMA")</f>
        <v>-</v>
      </c>
      <c r="CC77" t="str">
        <f>RTD("rtdtrading.rtdserver",, "RAIZ4_B_0", "THETA")</f>
        <v>-</v>
      </c>
      <c r="CD77" t="str">
        <f>RTD("rtdtrading.rtdserver",, "RAIZ4_B_0", "RHO")</f>
        <v>-</v>
      </c>
      <c r="CE77" t="str">
        <f>RTD("rtdtrading.rtdserver",, "RAIZ4_B_0", "VEGA")</f>
        <v>-</v>
      </c>
      <c r="CF77" t="str">
        <f>RTD("rtdtrading.rtdserver",, "RAIZ4_B_0", "VIA")</f>
        <v>-</v>
      </c>
      <c r="CG77" t="str">
        <f>RTD("rtdtrading.rtdserver",, "RAIZ4_B_0", "VIB")</f>
        <v>-</v>
      </c>
      <c r="CH77" t="str">
        <f>RTD("rtdtrading.rtdserver",, "RAIZ4_B_0", "DOBRAR")</f>
        <v>-</v>
      </c>
      <c r="CI77" t="str">
        <f>RTD("rtdtrading.rtdserver",, "RAIZ4_B_0", "VIVH")</f>
        <v>-</v>
      </c>
      <c r="CJ77" t="str">
        <f>RTD("rtdtrading.rtdserver",, "RAIZ4_B_0", "VINT")</f>
        <v>-</v>
      </c>
      <c r="CK77" t="str">
        <f>RTD("rtdtrading.rtdserver",, "RAIZ4_B_0", "VEXT")</f>
        <v>-</v>
      </c>
    </row>
    <row r="78" spans="2:89" x14ac:dyDescent="0.25">
      <c r="B78" t="s">
        <v>384</v>
      </c>
      <c r="C78" t="s">
        <v>385</v>
      </c>
      <c r="D78" t="s">
        <v>142</v>
      </c>
      <c r="E78" s="76">
        <v>804628136</v>
      </c>
      <c r="F78">
        <v>0.85599999999999998</v>
      </c>
      <c r="J78" s="3">
        <f>RTD("rtdtrading.rtdserver",, $B78&amp;"_B_0", J$4)</f>
        <v>22.57</v>
      </c>
      <c r="K78" s="3">
        <f>RTD("rtdtrading.rtdserver",, $B78&amp;"_B_0", K$4)</f>
        <v>22.650000000000002</v>
      </c>
      <c r="L78" s="3">
        <f>RTD("rtdtrading.rtdserver",, $B78&amp;"_B_0", L$4)</f>
        <v>0</v>
      </c>
      <c r="M78" s="3">
        <f t="shared" si="15"/>
        <v>22.650000000000002</v>
      </c>
      <c r="O78" s="33">
        <f t="shared" si="16"/>
        <v>1213.479560369635</v>
      </c>
      <c r="P78" s="10">
        <f t="shared" si="13"/>
        <v>3.5445281346921931E-3</v>
      </c>
      <c r="Q78">
        <v>7.2999999999999999E-5</v>
      </c>
      <c r="R78" s="17">
        <f t="shared" si="17"/>
        <v>3.6175281346921932E-3</v>
      </c>
      <c r="S78">
        <v>73</v>
      </c>
      <c r="T78" s="10" t="str">
        <f t="shared" si="18"/>
        <v>PCAR3</v>
      </c>
      <c r="U78" s="10">
        <f t="shared" si="14"/>
        <v>-1.8174166666666741E-2</v>
      </c>
      <c r="V78" t="str">
        <f t="shared" si="19"/>
        <v/>
      </c>
      <c r="W78" s="10" t="str">
        <f t="shared" si="20"/>
        <v>AZZA3</v>
      </c>
      <c r="X78" s="10">
        <f t="shared" si="21"/>
        <v>1.3792510137875047E-2</v>
      </c>
      <c r="Y78" s="33">
        <f t="shared" si="22"/>
        <v>1213.479560369635</v>
      </c>
      <c r="Z78" s="80">
        <f t="shared" si="23"/>
        <v>0</v>
      </c>
      <c r="AM78" t="s">
        <v>379</v>
      </c>
      <c r="AN78" t="str">
        <f>RTD("rtdtrading.rtdserver",, "MDIA3_B_0", "DAT")</f>
        <v>14/10/2025</v>
      </c>
      <c r="AO78" t="str">
        <f>RTD("rtdtrading.rtdserver",, "MDIA3_B_0", "HOR")</f>
        <v>17:53:28</v>
      </c>
      <c r="AP78">
        <f>RTD("rtdtrading.rtdserver",, "MDIA3_B_0", "ULT")</f>
        <v>28.150000000000002</v>
      </c>
      <c r="AQ78">
        <f>RTD("rtdtrading.rtdserver",, "MDIA3_B_0", "ABE")</f>
        <v>26.66</v>
      </c>
      <c r="AR78">
        <f>RTD("rtdtrading.rtdserver",, "MDIA3_B_0", "MAX")</f>
        <v>28.38</v>
      </c>
      <c r="AS78">
        <f>RTD("rtdtrading.rtdserver",, "MDIA3_B_0", "MIN")</f>
        <v>26.66</v>
      </c>
      <c r="AT78">
        <f>RTD("rtdtrading.rtdserver",, "MDIA3_B_0", "FEC")</f>
        <v>26.96</v>
      </c>
      <c r="AU78">
        <f>RTD("rtdtrading.rtdserver",, "MDIA3_B_0", "PEX")</f>
        <v>0</v>
      </c>
      <c r="AV78">
        <f>RTD("rtdtrading.rtdserver",, "MDIA3_B_0", "VAR")</f>
        <v>4.4139465875370965</v>
      </c>
      <c r="AW78">
        <f>RTD("rtdtrading.rtdserver",, "MDIA3_B_0", "VARPTS")</f>
        <v>1.1900000000000013</v>
      </c>
      <c r="AX78">
        <f>RTD("rtdtrading.rtdserver",, "MDIA3_B_0", "MED")</f>
        <v>28.053711492890994</v>
      </c>
      <c r="AY78" t="s">
        <v>380</v>
      </c>
      <c r="AZ78">
        <f>RTD("rtdtrading.rtdserver",, "MDIA3_B_0", "NEG")</f>
        <v>5626</v>
      </c>
      <c r="BA78">
        <f>RTD("rtdtrading.rtdserver",, "MDIA3_B_0", "QUL")</f>
        <v>0</v>
      </c>
      <c r="BB78">
        <f>RTD("rtdtrading.rtdserver",, "MDIA3_B_0", "QTT")</f>
        <v>1350400</v>
      </c>
      <c r="BC78">
        <f>RTD("rtdtrading.rtdserver",, "MDIA3_B_0", "VOL")</f>
        <v>37883732</v>
      </c>
      <c r="BD78">
        <f>RTD("rtdtrading.rtdserver",, "MDIA3_B_0", "OCP")</f>
        <v>27.78</v>
      </c>
      <c r="BE78">
        <f>RTD("rtdtrading.rtdserver",, "MDIA3_B_0", "OVD")</f>
        <v>28.36</v>
      </c>
      <c r="BF78">
        <f>RTD("rtdtrading.rtdserver",, "MDIA3_B_0", "VOC")</f>
        <v>100</v>
      </c>
      <c r="BG78">
        <f>RTD("rtdtrading.rtdserver",, "MDIA3_B_0", "VOV")</f>
        <v>200</v>
      </c>
      <c r="BH78">
        <f>RTD("rtdtrading.rtdserver",, "MDIA3_B_0", "AJU")</f>
        <v>0</v>
      </c>
      <c r="BI78">
        <f>RTD("rtdtrading.rtdserver",, "MDIA3_B_0", "AJA")</f>
        <v>0</v>
      </c>
      <c r="BJ78">
        <f>RTD("rtdtrading.rtdserver",, "MDIA3_B_0", "PRT")</f>
        <v>0</v>
      </c>
      <c r="BK78">
        <f>RTD("rtdtrading.rtdserver",, "MDIA3_B_0", "QTE")</f>
        <v>0</v>
      </c>
      <c r="BL78">
        <f>RTD("rtdtrading.rtdserver",, "MDIA3_B_0", "VPJ")</f>
        <v>37883732</v>
      </c>
      <c r="BM78">
        <f>RTD("rtdtrading.rtdserver",, "MDIA3_B_0", "SEM")</f>
        <v>6.750094804702317</v>
      </c>
      <c r="BN78">
        <f>RTD("rtdtrading.rtdserver",, "MDIA3_B_0", "MES")</f>
        <v>-2.0528879610299229</v>
      </c>
      <c r="BO78">
        <f>RTD("rtdtrading.rtdserver",, "MDIA3_B_0", "3M")</f>
        <v>10.032286560816782</v>
      </c>
      <c r="BP78">
        <f>RTD("rtdtrading.rtdserver",, "MDIA3_B_0", "6M")</f>
        <v>19.087909298587022</v>
      </c>
      <c r="BQ78">
        <f>RTD("rtdtrading.rtdserver",, "MDIA3_B_0", "12M")</f>
        <v>14.438802681486118</v>
      </c>
      <c r="BR78">
        <f>RTD("rtdtrading.rtdserver",, "MDIA3_B_0", "ANO")</f>
        <v>43.977250060097084</v>
      </c>
      <c r="BS78">
        <f>RTD("rtdtrading.rtdserver",, "MDIA3_B_0", "TRIM")</f>
        <v>-2.0528879610299229</v>
      </c>
      <c r="BT78">
        <f>RTD("rtdtrading.rtdserver",, "MDIA3_B_0", "SEMES")</f>
        <v>18.101647129899234</v>
      </c>
      <c r="BU78" t="str">
        <f>RTD("rtdtrading.rtdserver",, "MDIA3_B_0", "VEN")</f>
        <v>-</v>
      </c>
      <c r="BV78" t="str">
        <f>RTD("rtdtrading.rtdserver",, "MDIA3_B_0", "VAL")</f>
        <v>31/12/9999</v>
      </c>
      <c r="BW78">
        <f>RTD("rtdtrading.rtdserver",, "MDIA3_B_0", "CAB")</f>
        <v>0</v>
      </c>
      <c r="BX78" t="str">
        <f>RTD("rtdtrading.rtdserver",, "MDIA3_B_0", "EST")</f>
        <v>Pré-Fechamento</v>
      </c>
      <c r="BY78" t="str">
        <f>RTD("rtdtrading.rtdserver",, "MDIA3_B_0", "BLACK")</f>
        <v>-</v>
      </c>
      <c r="BZ78" t="str">
        <f>RTD("rtdtrading.rtdserver",, "MDIA3_B_0", "IMPVT")</f>
        <v>-</v>
      </c>
      <c r="CA78" t="str">
        <f>RTD("rtdtrading.rtdserver",, "MDIA3_B_0", "DELTA")</f>
        <v>-</v>
      </c>
      <c r="CB78" t="str">
        <f>RTD("rtdtrading.rtdserver",, "MDIA3_B_0", "GAMA")</f>
        <v>-</v>
      </c>
      <c r="CC78" t="str">
        <f>RTD("rtdtrading.rtdserver",, "MDIA3_B_0", "THETA")</f>
        <v>-</v>
      </c>
      <c r="CD78" t="str">
        <f>RTD("rtdtrading.rtdserver",, "MDIA3_B_0", "RHO")</f>
        <v>-</v>
      </c>
      <c r="CE78" t="str">
        <f>RTD("rtdtrading.rtdserver",, "MDIA3_B_0", "VEGA")</f>
        <v>-</v>
      </c>
      <c r="CF78" t="str">
        <f>RTD("rtdtrading.rtdserver",, "MDIA3_B_0", "VIA")</f>
        <v>-</v>
      </c>
      <c r="CG78" t="str">
        <f>RTD("rtdtrading.rtdserver",, "MDIA3_B_0", "VIB")</f>
        <v>-</v>
      </c>
      <c r="CH78" t="str">
        <f>RTD("rtdtrading.rtdserver",, "MDIA3_B_0", "DOBRAR")</f>
        <v>-</v>
      </c>
      <c r="CI78" t="str">
        <f>RTD("rtdtrading.rtdserver",, "MDIA3_B_0", "VIVH")</f>
        <v>-</v>
      </c>
      <c r="CJ78" t="str">
        <f>RTD("rtdtrading.rtdserver",, "MDIA3_B_0", "VINT")</f>
        <v>-</v>
      </c>
      <c r="CK78" t="str">
        <f>RTD("rtdtrading.rtdserver",, "MDIA3_B_0", "VEXT")</f>
        <v>-</v>
      </c>
    </row>
    <row r="79" spans="2:89" x14ac:dyDescent="0.25">
      <c r="B79" t="s">
        <v>388</v>
      </c>
      <c r="C79" t="s">
        <v>389</v>
      </c>
      <c r="D79" t="s">
        <v>142</v>
      </c>
      <c r="E79" s="76">
        <v>533261054</v>
      </c>
      <c r="F79">
        <v>1.0680000000000001</v>
      </c>
      <c r="J79" s="3">
        <f>RTD("rtdtrading.rtdserver",, $B79&amp;"_B_0", J$4)</f>
        <v>42.800000000000004</v>
      </c>
      <c r="K79" s="3">
        <f>RTD("rtdtrading.rtdserver",, $B79&amp;"_B_0", K$4)</f>
        <v>42.63</v>
      </c>
      <c r="L79" s="3">
        <f>RTD("rtdtrading.rtdserver",, $B79&amp;"_B_0", L$4)</f>
        <v>0</v>
      </c>
      <c r="M79" s="3">
        <f t="shared" si="15"/>
        <v>42.63</v>
      </c>
      <c r="O79" s="33">
        <f t="shared" si="16"/>
        <v>1513.6457429430743</v>
      </c>
      <c r="P79" s="10">
        <f t="shared" si="13"/>
        <v>-3.971962616822422E-3</v>
      </c>
      <c r="Q79">
        <v>7.3999999999999996E-5</v>
      </c>
      <c r="R79" s="17">
        <f t="shared" si="17"/>
        <v>-3.8979626168224222E-3</v>
      </c>
      <c r="S79">
        <v>74</v>
      </c>
      <c r="T79" s="10" t="str">
        <f t="shared" si="18"/>
        <v>BPAC11</v>
      </c>
      <c r="U79" s="10">
        <f t="shared" si="14"/>
        <v>-1.9220834073134532E-2</v>
      </c>
      <c r="V79" t="str">
        <f t="shared" si="19"/>
        <v/>
      </c>
      <c r="W79" s="10" t="str">
        <f t="shared" si="20"/>
        <v>CEAB3</v>
      </c>
      <c r="X79" s="10">
        <f t="shared" si="21"/>
        <v>1.4182130070830674E-2</v>
      </c>
      <c r="Y79" s="33">
        <f t="shared" si="22"/>
        <v>1513.6457429430743</v>
      </c>
      <c r="Z79" s="80">
        <f t="shared" si="23"/>
        <v>0</v>
      </c>
      <c r="AM79" t="s">
        <v>367</v>
      </c>
      <c r="AN79" t="str">
        <f>RTD("rtdtrading.rtdserver",, "SLCE3_B_0", "DAT")</f>
        <v>14/10/2025</v>
      </c>
      <c r="AO79" t="str">
        <f>RTD("rtdtrading.rtdserver",, "SLCE3_B_0", "HOR")</f>
        <v>17:07:40</v>
      </c>
      <c r="AP79">
        <f>RTD("rtdtrading.rtdserver",, "SLCE3_B_0", "ULT")</f>
        <v>15.690000000000001</v>
      </c>
      <c r="AQ79">
        <f>RTD("rtdtrading.rtdserver",, "SLCE3_B_0", "ABE")</f>
        <v>15.65</v>
      </c>
      <c r="AR79">
        <f>RTD("rtdtrading.rtdserver",, "SLCE3_B_0", "MAX")</f>
        <v>15.76</v>
      </c>
      <c r="AS79">
        <f>RTD("rtdtrading.rtdserver",, "SLCE3_B_0", "MIN")</f>
        <v>15.61</v>
      </c>
      <c r="AT79">
        <f>RTD("rtdtrading.rtdserver",, "SLCE3_B_0", "FEC")</f>
        <v>15.65</v>
      </c>
      <c r="AU79">
        <f>RTD("rtdtrading.rtdserver",, "SLCE3_B_0", "PEX")</f>
        <v>0</v>
      </c>
      <c r="AV79">
        <f>RTD("rtdtrading.rtdserver",, "SLCE3_B_0", "VAR")</f>
        <v>0.25559105431310497</v>
      </c>
      <c r="AW79">
        <f>RTD("rtdtrading.rtdserver",, "SLCE3_B_0", "VARPTS")</f>
        <v>4.0000000000000924E-2</v>
      </c>
      <c r="AX79">
        <f>RTD("rtdtrading.rtdserver",, "SLCE3_B_0", "MED")</f>
        <v>15.669188390217684</v>
      </c>
      <c r="AY79" t="s">
        <v>383</v>
      </c>
      <c r="AZ79">
        <f>RTD("rtdtrading.rtdserver",, "SLCE3_B_0", "NEG")</f>
        <v>4439</v>
      </c>
      <c r="BA79">
        <f>RTD("rtdtrading.rtdserver",, "SLCE3_B_0", "QUL")</f>
        <v>0</v>
      </c>
      <c r="BB79">
        <f>RTD("rtdtrading.rtdserver",, "SLCE3_B_0", "QTT")</f>
        <v>1116300</v>
      </c>
      <c r="BC79">
        <f>RTD("rtdtrading.rtdserver",, "SLCE3_B_0", "VOL")</f>
        <v>17491515</v>
      </c>
      <c r="BD79">
        <f>RTD("rtdtrading.rtdserver",, "SLCE3_B_0", "OCP")</f>
        <v>15.620000000000001</v>
      </c>
      <c r="BE79">
        <f>RTD("rtdtrading.rtdserver",, "SLCE3_B_0", "OVD")</f>
        <v>15.77</v>
      </c>
      <c r="BF79">
        <f>RTD("rtdtrading.rtdserver",, "SLCE3_B_0", "VOC")</f>
        <v>500</v>
      </c>
      <c r="BG79">
        <f>RTD("rtdtrading.rtdserver",, "SLCE3_B_0", "VOV")</f>
        <v>600</v>
      </c>
      <c r="BH79">
        <f>RTD("rtdtrading.rtdserver",, "SLCE3_B_0", "AJU")</f>
        <v>0</v>
      </c>
      <c r="BI79">
        <f>RTD("rtdtrading.rtdserver",, "SLCE3_B_0", "AJA")</f>
        <v>0</v>
      </c>
      <c r="BJ79">
        <f>RTD("rtdtrading.rtdserver",, "SLCE3_B_0", "PRT")</f>
        <v>0</v>
      </c>
      <c r="BK79">
        <f>RTD("rtdtrading.rtdserver",, "SLCE3_B_0", "QTE")</f>
        <v>0</v>
      </c>
      <c r="BL79">
        <f>RTD("rtdtrading.rtdserver",, "SLCE3_B_0", "VPJ")</f>
        <v>17491515</v>
      </c>
      <c r="BM79">
        <f>RTD("rtdtrading.rtdserver",, "SLCE3_B_0", "SEM")</f>
        <v>-0.696202531645566</v>
      </c>
      <c r="BN79">
        <f>RTD("rtdtrading.rtdserver",, "SLCE3_B_0", "MES")</f>
        <v>-4.3875685557586763</v>
      </c>
      <c r="BO79">
        <f>RTD("rtdtrading.rtdserver",, "SLCE3_B_0", "3M")</f>
        <v>-13.506063947078276</v>
      </c>
      <c r="BP79">
        <f>RTD("rtdtrading.rtdserver",, "SLCE3_B_0", "6M")</f>
        <v>-19.793477149575704</v>
      </c>
      <c r="BQ79">
        <f>RTD("rtdtrading.rtdserver",, "SLCE3_B_0", "12M")</f>
        <v>-5.6286013304622955</v>
      </c>
      <c r="BR79">
        <f>RTD("rtdtrading.rtdserver",, "SLCE3_B_0", "ANO")</f>
        <v>-7.7856206691860566</v>
      </c>
      <c r="BS79">
        <f>RTD("rtdtrading.rtdserver",, "SLCE3_B_0", "TRIM")</f>
        <v>-4.3875685557586763</v>
      </c>
      <c r="BT79">
        <f>RTD("rtdtrading.rtdserver",, "SLCE3_B_0", "SEMES")</f>
        <v>-12.199216564073865</v>
      </c>
      <c r="BU79" t="str">
        <f>RTD("rtdtrading.rtdserver",, "SLCE3_B_0", "VEN")</f>
        <v>-</v>
      </c>
      <c r="BV79" t="str">
        <f>RTD("rtdtrading.rtdserver",, "SLCE3_B_0", "VAL")</f>
        <v>31/12/9999</v>
      </c>
      <c r="BW79">
        <f>RTD("rtdtrading.rtdserver",, "SLCE3_B_0", "CAB")</f>
        <v>0</v>
      </c>
      <c r="BX79" t="str">
        <f>RTD("rtdtrading.rtdserver",, "SLCE3_B_0", "EST")</f>
        <v>Pré-Fechamento</v>
      </c>
      <c r="BY79" t="str">
        <f>RTD("rtdtrading.rtdserver",, "SLCE3_B_0", "BLACK")</f>
        <v>-</v>
      </c>
      <c r="BZ79" t="str">
        <f>RTD("rtdtrading.rtdserver",, "SLCE3_B_0", "IMPVT")</f>
        <v>-</v>
      </c>
      <c r="CA79" t="str">
        <f>RTD("rtdtrading.rtdserver",, "SLCE3_B_0", "DELTA")</f>
        <v>-</v>
      </c>
      <c r="CB79" t="str">
        <f>RTD("rtdtrading.rtdserver",, "SLCE3_B_0", "GAMA")</f>
        <v>-</v>
      </c>
      <c r="CC79" t="str">
        <f>RTD("rtdtrading.rtdserver",, "SLCE3_B_0", "THETA")</f>
        <v>-</v>
      </c>
      <c r="CD79" t="str">
        <f>RTD("rtdtrading.rtdserver",, "SLCE3_B_0", "RHO")</f>
        <v>-</v>
      </c>
      <c r="CE79" t="str">
        <f>RTD("rtdtrading.rtdserver",, "SLCE3_B_0", "VEGA")</f>
        <v>-</v>
      </c>
      <c r="CF79" t="str">
        <f>RTD("rtdtrading.rtdserver",, "SLCE3_B_0", "VIA")</f>
        <v>-</v>
      </c>
      <c r="CG79" t="str">
        <f>RTD("rtdtrading.rtdserver",, "SLCE3_B_0", "VIB")</f>
        <v>-</v>
      </c>
      <c r="CH79" t="str">
        <f>RTD("rtdtrading.rtdserver",, "SLCE3_B_0", "DOBRAR")</f>
        <v>-</v>
      </c>
      <c r="CI79" t="str">
        <f>RTD("rtdtrading.rtdserver",, "SLCE3_B_0", "VIVH")</f>
        <v>-</v>
      </c>
      <c r="CJ79" t="str">
        <f>RTD("rtdtrading.rtdserver",, "SLCE3_B_0", "VINT")</f>
        <v>-</v>
      </c>
      <c r="CK79" t="str">
        <f>RTD("rtdtrading.rtdserver",, "SLCE3_B_0", "VEXT")</f>
        <v>-</v>
      </c>
    </row>
    <row r="80" spans="2:89" x14ac:dyDescent="0.25">
      <c r="B80" t="s">
        <v>392</v>
      </c>
      <c r="C80" t="s">
        <v>393</v>
      </c>
      <c r="D80" t="s">
        <v>142</v>
      </c>
      <c r="E80" s="76">
        <v>1071443332</v>
      </c>
      <c r="F80">
        <v>1.0620000000000001</v>
      </c>
      <c r="J80" s="3">
        <f>RTD("rtdtrading.rtdserver",, $B80&amp;"_B_0", J$4)</f>
        <v>21.41</v>
      </c>
      <c r="K80" s="3">
        <f>RTD("rtdtrading.rtdserver",, $B80&amp;"_B_0", K$4)</f>
        <v>21.1</v>
      </c>
      <c r="L80" s="3">
        <f>RTD("rtdtrading.rtdserver",, $B80&amp;"_B_0", L$4)</f>
        <v>0</v>
      </c>
      <c r="M80" s="3">
        <f t="shared" si="15"/>
        <v>21.1</v>
      </c>
      <c r="O80" s="33">
        <f t="shared" si="16"/>
        <v>1505.2918356518212</v>
      </c>
      <c r="P80" s="10">
        <f t="shared" si="13"/>
        <v>-1.4479215319943894E-2</v>
      </c>
      <c r="Q80">
        <v>7.4999999999999993E-5</v>
      </c>
      <c r="R80" s="17">
        <f t="shared" si="17"/>
        <v>-1.4404215319943894E-2</v>
      </c>
      <c r="S80">
        <v>75</v>
      </c>
      <c r="T80" s="10" t="str">
        <f t="shared" si="18"/>
        <v>HAPV3</v>
      </c>
      <c r="U80" s="10">
        <f t="shared" si="14"/>
        <v>-2.3659682464455111E-2</v>
      </c>
      <c r="V80" t="str">
        <f t="shared" si="19"/>
        <v/>
      </c>
      <c r="W80" s="10" t="str">
        <f t="shared" si="20"/>
        <v>BBDC4</v>
      </c>
      <c r="X80" s="10">
        <f t="shared" si="21"/>
        <v>1.4193397163120366E-2</v>
      </c>
      <c r="Y80" s="33">
        <f t="shared" si="22"/>
        <v>1505.2918356518212</v>
      </c>
      <c r="Z80" s="80">
        <f t="shared" si="23"/>
        <v>0</v>
      </c>
      <c r="AM80" t="s">
        <v>386</v>
      </c>
      <c r="AN80" t="str">
        <f>RTD("rtdtrading.rtdserver",, "ARML3_B_0", "DAT")</f>
        <v>14/10/2025</v>
      </c>
      <c r="AO80" t="str">
        <f>RTD("rtdtrading.rtdserver",, "ARML3_B_0", "HOR")</f>
        <v>17:59:07</v>
      </c>
      <c r="AP80">
        <f>RTD("rtdtrading.rtdserver",, "ARML3_B_0", "ULT")</f>
        <v>2.9767000000000001</v>
      </c>
      <c r="AQ80">
        <f>RTD("rtdtrading.rtdserver",, "ARML3_B_0", "ABE")</f>
        <v>3.07</v>
      </c>
      <c r="AR80">
        <f>RTD("rtdtrading.rtdserver",, "ARML3_B_0", "MAX")</f>
        <v>3.13</v>
      </c>
      <c r="AS80">
        <f>RTD("rtdtrading.rtdserver",, "ARML3_B_0", "MIN")</f>
        <v>3.01</v>
      </c>
      <c r="AT80">
        <f>RTD("rtdtrading.rtdserver",, "ARML3_B_0", "FEC")</f>
        <v>3.0258000000000003</v>
      </c>
      <c r="AU80">
        <f>RTD("rtdtrading.rtdserver",, "ARML3_B_0", "PEX")</f>
        <v>0</v>
      </c>
      <c r="AV80">
        <f>RTD("rtdtrading.rtdserver",, "ARML3_B_0", "VAR")</f>
        <v>-1.6227113490647149</v>
      </c>
      <c r="AW80">
        <f>RTD("rtdtrading.rtdserver",, "ARML3_B_0", "VARPTS")</f>
        <v>-4.9100000000000144E-2</v>
      </c>
      <c r="AX80">
        <f>RTD("rtdtrading.rtdserver",, "ARML3_B_0", "MED")</f>
        <v>3.0740149039090077</v>
      </c>
      <c r="AY80" t="s">
        <v>387</v>
      </c>
      <c r="AZ80">
        <f>RTD("rtdtrading.rtdserver",, "ARML3_B_0", "NEG")</f>
        <v>2116</v>
      </c>
      <c r="BA80">
        <f>RTD("rtdtrading.rtdserver",, "ARML3_B_0", "QUL")</f>
        <v>0</v>
      </c>
      <c r="BB80">
        <f>RTD("rtdtrading.rtdserver",, "ARML3_B_0", "QTT")</f>
        <v>764900</v>
      </c>
      <c r="BC80">
        <f>RTD("rtdtrading.rtdserver",, "ARML3_B_0", "VOL")</f>
        <v>2351314</v>
      </c>
      <c r="BD80">
        <f>RTD("rtdtrading.rtdserver",, "ARML3_B_0", "OCP")</f>
        <v>0</v>
      </c>
      <c r="BE80">
        <f>RTD("rtdtrading.rtdserver",, "ARML3_B_0", "OVD")</f>
        <v>0</v>
      </c>
      <c r="BF80">
        <f>RTD("rtdtrading.rtdserver",, "ARML3_B_0", "VOC")</f>
        <v>0</v>
      </c>
      <c r="BG80">
        <f>RTD("rtdtrading.rtdserver",, "ARML3_B_0", "VOV")</f>
        <v>0</v>
      </c>
      <c r="BH80">
        <f>RTD("rtdtrading.rtdserver",, "ARML3_B_0", "AJU")</f>
        <v>0</v>
      </c>
      <c r="BI80">
        <f>RTD("rtdtrading.rtdserver",, "ARML3_B_0", "AJA")</f>
        <v>0</v>
      </c>
      <c r="BJ80">
        <f>RTD("rtdtrading.rtdserver",, "ARML3_B_0", "PRT")</f>
        <v>0</v>
      </c>
      <c r="BK80">
        <f>RTD("rtdtrading.rtdserver",, "ARML3_B_0", "QTE")</f>
        <v>0</v>
      </c>
      <c r="BL80">
        <f>RTD("rtdtrading.rtdserver",, "ARML3_B_0", "VPJ")</f>
        <v>2351314</v>
      </c>
      <c r="BM80">
        <f>RTD("rtdtrading.rtdserver",, "ARML3_B_0", "SEM")</f>
        <v>-0.65414010613089679</v>
      </c>
      <c r="BN80">
        <f>RTD("rtdtrading.rtdserver",, "ARML3_B_0", "MES")</f>
        <v>-18.327983098746127</v>
      </c>
      <c r="BO80">
        <f>RTD("rtdtrading.rtdserver",, "ARML3_B_0", "3M")</f>
        <v>-24.760508555974013</v>
      </c>
      <c r="BP80">
        <f>RTD("rtdtrading.rtdserver",, "ARML3_B_0", "6M")</f>
        <v>-27.282276780261398</v>
      </c>
      <c r="BQ80">
        <f>RTD("rtdtrading.rtdserver",, "ARML3_B_0", "12M")</f>
        <v>-60.963359299184305</v>
      </c>
      <c r="BR80">
        <f>RTD("rtdtrading.rtdserver",, "ARML3_B_0", "ANO")</f>
        <v>-37.836483241098463</v>
      </c>
      <c r="BS80">
        <f>RTD("rtdtrading.rtdserver",, "ARML3_B_0", "TRIM")</f>
        <v>-18.327983098746127</v>
      </c>
      <c r="BT80">
        <f>RTD("rtdtrading.rtdserver",, "ARML3_B_0", "SEMES")</f>
        <v>-9.2690807120214593</v>
      </c>
      <c r="BU80" t="str">
        <f>RTD("rtdtrading.rtdserver",, "ARML3_B_0", "VEN")</f>
        <v>-</v>
      </c>
      <c r="BV80" t="str">
        <f>RTD("rtdtrading.rtdserver",, "ARML3_B_0", "VAL")</f>
        <v>31/12/9999</v>
      </c>
      <c r="BW80">
        <f>RTD("rtdtrading.rtdserver",, "ARML3_B_0", "CAB")</f>
        <v>0</v>
      </c>
      <c r="BX80" t="str">
        <f>RTD("rtdtrading.rtdserver",, "ARML3_B_0", "EST")</f>
        <v>Pré-Fechamento</v>
      </c>
      <c r="BY80" t="str">
        <f>RTD("rtdtrading.rtdserver",, "ARML3_B_0", "BLACK")</f>
        <v>-</v>
      </c>
      <c r="BZ80" t="str">
        <f>RTD("rtdtrading.rtdserver",, "ARML3_B_0", "IMPVT")</f>
        <v>-</v>
      </c>
      <c r="CA80" t="str">
        <f>RTD("rtdtrading.rtdserver",, "ARML3_B_0", "DELTA")</f>
        <v>-</v>
      </c>
      <c r="CB80" t="str">
        <f>RTD("rtdtrading.rtdserver",, "ARML3_B_0", "GAMA")</f>
        <v>-</v>
      </c>
      <c r="CC80" t="str">
        <f>RTD("rtdtrading.rtdserver",, "ARML3_B_0", "THETA")</f>
        <v>-</v>
      </c>
      <c r="CD80" t="str">
        <f>RTD("rtdtrading.rtdserver",, "ARML3_B_0", "RHO")</f>
        <v>-</v>
      </c>
      <c r="CE80" t="str">
        <f>RTD("rtdtrading.rtdserver",, "ARML3_B_0", "VEGA")</f>
        <v>-</v>
      </c>
      <c r="CF80" t="str">
        <f>RTD("rtdtrading.rtdserver",, "ARML3_B_0", "VIA")</f>
        <v>-</v>
      </c>
      <c r="CG80" t="str">
        <f>RTD("rtdtrading.rtdserver",, "ARML3_B_0", "VIB")</f>
        <v>-</v>
      </c>
      <c r="CH80" t="str">
        <f>RTD("rtdtrading.rtdserver",, "ARML3_B_0", "DOBRAR")</f>
        <v>-</v>
      </c>
      <c r="CI80" t="str">
        <f>RTD("rtdtrading.rtdserver",, "ARML3_B_0", "VIVH")</f>
        <v>-</v>
      </c>
      <c r="CJ80" t="str">
        <f>RTD("rtdtrading.rtdserver",, "ARML3_B_0", "VINT")</f>
        <v>-</v>
      </c>
      <c r="CK80" t="str">
        <f>RTD("rtdtrading.rtdserver",, "ARML3_B_0", "VEXT")</f>
        <v>-</v>
      </c>
    </row>
    <row r="81" spans="1:89" x14ac:dyDescent="0.25">
      <c r="B81" t="s">
        <v>225</v>
      </c>
      <c r="C81" t="s">
        <v>395</v>
      </c>
      <c r="D81" t="s">
        <v>179</v>
      </c>
      <c r="E81" s="76">
        <v>459046773</v>
      </c>
      <c r="F81">
        <v>0.10100000000000001</v>
      </c>
      <c r="J81" s="3">
        <f>RTD("rtdtrading.rtdserver",, $B81&amp;"_B_0", J$4)</f>
        <v>4.5200000000000005</v>
      </c>
      <c r="K81" s="3">
        <f>RTD("rtdtrading.rtdserver",, $B81&amp;"_B_0", K$4)</f>
        <v>4.6500000000000004</v>
      </c>
      <c r="L81" s="3">
        <f>RTD("rtdtrading.rtdserver",, $B81&amp;"_B_0", L$4)</f>
        <v>0</v>
      </c>
      <c r="M81" s="3">
        <f t="shared" si="15"/>
        <v>4.6500000000000004</v>
      </c>
      <c r="O81" s="33">
        <f t="shared" si="16"/>
        <v>142.12776806561033</v>
      </c>
      <c r="P81" s="10">
        <f t="shared" si="13"/>
        <v>2.8761061946902533E-2</v>
      </c>
      <c r="Q81">
        <v>7.6000000000000004E-5</v>
      </c>
      <c r="R81" s="17">
        <f t="shared" si="17"/>
        <v>2.8837061946902533E-2</v>
      </c>
      <c r="S81">
        <v>76</v>
      </c>
      <c r="T81" s="10" t="str">
        <f t="shared" si="18"/>
        <v>AURE3</v>
      </c>
      <c r="U81" s="10">
        <f t="shared" si="14"/>
        <v>-2.6066763500931071E-2</v>
      </c>
      <c r="V81" t="str">
        <f t="shared" si="19"/>
        <v/>
      </c>
      <c r="W81" s="10" t="str">
        <f t="shared" si="20"/>
        <v>ABEV3</v>
      </c>
      <c r="X81" s="10">
        <f t="shared" si="21"/>
        <v>1.6022236087689764E-2</v>
      </c>
      <c r="Y81" s="33">
        <f t="shared" si="22"/>
        <v>142.12776806561033</v>
      </c>
      <c r="Z81" s="80">
        <f t="shared" si="23"/>
        <v>0</v>
      </c>
      <c r="AM81" t="s">
        <v>390</v>
      </c>
      <c r="AN81" t="str">
        <f>RTD("rtdtrading.rtdserver",, "TUPY3_B_0", "DAT")</f>
        <v>14/10/2025</v>
      </c>
      <c r="AO81" t="str">
        <f>RTD("rtdtrading.rtdserver",, "TUPY3_B_0", "HOR")</f>
        <v>17:07:37</v>
      </c>
      <c r="AP81">
        <f>RTD("rtdtrading.rtdserver",, "TUPY3_B_0", "ULT")</f>
        <v>12.360000000000001</v>
      </c>
      <c r="AQ81">
        <f>RTD("rtdtrading.rtdserver",, "TUPY3_B_0", "ABE")</f>
        <v>12.54</v>
      </c>
      <c r="AR81">
        <f>RTD("rtdtrading.rtdserver",, "TUPY3_B_0", "MAX")</f>
        <v>12.54</v>
      </c>
      <c r="AS81">
        <f>RTD("rtdtrading.rtdserver",, "TUPY3_B_0", "MIN")</f>
        <v>12.23</v>
      </c>
      <c r="AT81">
        <f>RTD("rtdtrading.rtdserver",, "TUPY3_B_0", "FEC")</f>
        <v>12.47</v>
      </c>
      <c r="AU81">
        <f>RTD("rtdtrading.rtdserver",, "TUPY3_B_0", "PEX")</f>
        <v>0</v>
      </c>
      <c r="AV81">
        <f>RTD("rtdtrading.rtdserver",, "TUPY3_B_0", "VAR")</f>
        <v>-0.88211708099438202</v>
      </c>
      <c r="AW81">
        <f>RTD("rtdtrading.rtdserver",, "TUPY3_B_0", "VARPTS")</f>
        <v>-0.10999999999999943</v>
      </c>
      <c r="AX81">
        <f>RTD("rtdtrading.rtdserver",, "TUPY3_B_0", "MED")</f>
        <v>12.349830188679245</v>
      </c>
      <c r="AY81" t="s">
        <v>391</v>
      </c>
      <c r="AZ81">
        <f>RTD("rtdtrading.rtdserver",, "TUPY3_B_0", "NEG")</f>
        <v>1818</v>
      </c>
      <c r="BA81">
        <f>RTD("rtdtrading.rtdserver",, "TUPY3_B_0", "QUL")</f>
        <v>0</v>
      </c>
      <c r="BB81">
        <f>RTD("rtdtrading.rtdserver",, "TUPY3_B_0", "QTT")</f>
        <v>424000</v>
      </c>
      <c r="BC81">
        <f>RTD("rtdtrading.rtdserver",, "TUPY3_B_0", "VOL")</f>
        <v>5236328</v>
      </c>
      <c r="BD81">
        <f>RTD("rtdtrading.rtdserver",, "TUPY3_B_0", "OCP")</f>
        <v>12.22</v>
      </c>
      <c r="BE81">
        <f>RTD("rtdtrading.rtdserver",, "TUPY3_B_0", "OVD")</f>
        <v>12.64</v>
      </c>
      <c r="BF81">
        <f>RTD("rtdtrading.rtdserver",, "TUPY3_B_0", "VOC")</f>
        <v>400</v>
      </c>
      <c r="BG81">
        <f>RTD("rtdtrading.rtdserver",, "TUPY3_B_0", "VOV")</f>
        <v>500</v>
      </c>
      <c r="BH81">
        <f>RTD("rtdtrading.rtdserver",, "TUPY3_B_0", "AJU")</f>
        <v>0</v>
      </c>
      <c r="BI81">
        <f>RTD("rtdtrading.rtdserver",, "TUPY3_B_0", "AJA")</f>
        <v>0</v>
      </c>
      <c r="BJ81">
        <f>RTD("rtdtrading.rtdserver",, "TUPY3_B_0", "PRT")</f>
        <v>0</v>
      </c>
      <c r="BK81">
        <f>RTD("rtdtrading.rtdserver",, "TUPY3_B_0", "QTE")</f>
        <v>0</v>
      </c>
      <c r="BL81">
        <f>RTD("rtdtrading.rtdserver",, "TUPY3_B_0", "VPJ")</f>
        <v>5236328</v>
      </c>
      <c r="BM81">
        <f>RTD("rtdtrading.rtdserver",, "TUPY3_B_0", "SEM")</f>
        <v>-1.6706443914081073</v>
      </c>
      <c r="BN81">
        <f>RTD("rtdtrading.rtdserver",, "TUPY3_B_0", "MES")</f>
        <v>-5.2873563218390762</v>
      </c>
      <c r="BO81">
        <f>RTD("rtdtrading.rtdserver",, "TUPY3_B_0", "3M")</f>
        <v>-29.087779690189318</v>
      </c>
      <c r="BP81">
        <f>RTD("rtdtrading.rtdserver",, "TUPY3_B_0", "6M")</f>
        <v>-34.74128827877508</v>
      </c>
      <c r="BQ81">
        <f>RTD("rtdtrading.rtdserver",, "TUPY3_B_0", "12M")</f>
        <v>-46.486093311627585</v>
      </c>
      <c r="BR81">
        <f>RTD("rtdtrading.rtdserver",, "TUPY3_B_0", "ANO")</f>
        <v>-45.59044927497952</v>
      </c>
      <c r="BS81">
        <f>RTD("rtdtrading.rtdserver",, "TUPY3_B_0", "TRIM")</f>
        <v>-5.2873563218390762</v>
      </c>
      <c r="BT81">
        <f>RTD("rtdtrading.rtdserver",, "TUPY3_B_0", "SEMES")</f>
        <v>-32.16245883644347</v>
      </c>
      <c r="BU81" t="str">
        <f>RTD("rtdtrading.rtdserver",, "TUPY3_B_0", "VEN")</f>
        <v>-</v>
      </c>
      <c r="BV81" t="str">
        <f>RTD("rtdtrading.rtdserver",, "TUPY3_B_0", "VAL")</f>
        <v>31/12/9999</v>
      </c>
      <c r="BW81">
        <f>RTD("rtdtrading.rtdserver",, "TUPY3_B_0", "CAB")</f>
        <v>0</v>
      </c>
      <c r="BX81" t="str">
        <f>RTD("rtdtrading.rtdserver",, "TUPY3_B_0", "EST")</f>
        <v>Pré-Fechamento</v>
      </c>
      <c r="BY81" t="str">
        <f>RTD("rtdtrading.rtdserver",, "TUPY3_B_0", "BLACK")</f>
        <v>-</v>
      </c>
      <c r="BZ81" t="str">
        <f>RTD("rtdtrading.rtdserver",, "TUPY3_B_0", "IMPVT")</f>
        <v>-</v>
      </c>
      <c r="CA81" t="str">
        <f>RTD("rtdtrading.rtdserver",, "TUPY3_B_0", "DELTA")</f>
        <v>-</v>
      </c>
      <c r="CB81" t="str">
        <f>RTD("rtdtrading.rtdserver",, "TUPY3_B_0", "GAMA")</f>
        <v>-</v>
      </c>
      <c r="CC81" t="str">
        <f>RTD("rtdtrading.rtdserver",, "TUPY3_B_0", "THETA")</f>
        <v>-</v>
      </c>
      <c r="CD81" t="str">
        <f>RTD("rtdtrading.rtdserver",, "TUPY3_B_0", "RHO")</f>
        <v>-</v>
      </c>
      <c r="CE81" t="str">
        <f>RTD("rtdtrading.rtdserver",, "TUPY3_B_0", "VEGA")</f>
        <v>-</v>
      </c>
      <c r="CF81" t="str">
        <f>RTD("rtdtrading.rtdserver",, "TUPY3_B_0", "VIA")</f>
        <v>-</v>
      </c>
      <c r="CG81" t="str">
        <f>RTD("rtdtrading.rtdserver",, "TUPY3_B_0", "VIB")</f>
        <v>-</v>
      </c>
      <c r="CH81" t="str">
        <f>RTD("rtdtrading.rtdserver",, "TUPY3_B_0", "DOBRAR")</f>
        <v>-</v>
      </c>
      <c r="CI81" t="str">
        <f>RTD("rtdtrading.rtdserver",, "TUPY3_B_0", "VIVH")</f>
        <v>-</v>
      </c>
      <c r="CJ81" t="str">
        <f>RTD("rtdtrading.rtdserver",, "TUPY3_B_0", "VINT")</f>
        <v>-</v>
      </c>
      <c r="CK81" t="str">
        <f>RTD("rtdtrading.rtdserver",, "TUPY3_B_0", "VEXT")</f>
        <v>-</v>
      </c>
    </row>
    <row r="82" spans="1:89" x14ac:dyDescent="0.25">
      <c r="B82" t="s">
        <v>159</v>
      </c>
      <c r="C82" t="s">
        <v>398</v>
      </c>
      <c r="D82" t="s">
        <v>142</v>
      </c>
      <c r="E82" s="76">
        <v>4267772018</v>
      </c>
      <c r="F82">
        <v>11.984</v>
      </c>
      <c r="J82" s="3">
        <f>RTD("rtdtrading.rtdserver",, $B82&amp;"_B_0", J$4)</f>
        <v>59.75</v>
      </c>
      <c r="K82" s="3">
        <f>RTD("rtdtrading.rtdserver",, $B82&amp;"_B_0", K$4)</f>
        <v>59.75</v>
      </c>
      <c r="L82" s="3">
        <f>RTD("rtdtrading.rtdserver",, $B82&amp;"_B_0", L$4)</f>
        <v>0</v>
      </c>
      <c r="M82" s="3">
        <f t="shared" si="15"/>
        <v>59.75</v>
      </c>
      <c r="O82" s="33">
        <f t="shared" si="16"/>
        <v>16978.845859042704</v>
      </c>
      <c r="P82" s="10">
        <f t="shared" si="13"/>
        <v>0</v>
      </c>
      <c r="Q82">
        <v>7.7000000000000001E-5</v>
      </c>
      <c r="R82" s="17">
        <f t="shared" si="17"/>
        <v>7.7000000000000001E-5</v>
      </c>
      <c r="S82">
        <v>77</v>
      </c>
      <c r="T82" s="10" t="str">
        <f t="shared" si="18"/>
        <v>PRIO3</v>
      </c>
      <c r="U82" s="10">
        <f t="shared" si="14"/>
        <v>-2.6938245179063434E-2</v>
      </c>
      <c r="V82" t="str">
        <f t="shared" si="19"/>
        <v/>
      </c>
      <c r="W82" s="10" t="str">
        <f t="shared" si="20"/>
        <v>ASAI3</v>
      </c>
      <c r="X82" s="10">
        <f t="shared" si="21"/>
        <v>1.7394304347826208E-2</v>
      </c>
      <c r="Y82" s="33">
        <f t="shared" si="22"/>
        <v>16978.845859042704</v>
      </c>
      <c r="Z82" s="80">
        <f t="shared" si="23"/>
        <v>0</v>
      </c>
      <c r="AM82" t="s">
        <v>283</v>
      </c>
      <c r="AN82" t="str">
        <f>RTD("rtdtrading.rtdserver",, "KLBN11_B_0", "DAT")</f>
        <v>14/10/2025</v>
      </c>
      <c r="AO82" t="str">
        <f>RTD("rtdtrading.rtdserver",, "KLBN11_B_0", "HOR")</f>
        <v>17:59:53</v>
      </c>
      <c r="AP82">
        <f>RTD("rtdtrading.rtdserver",, "KLBN11_B_0", "ULT")</f>
        <v>17.45</v>
      </c>
      <c r="AQ82">
        <f>RTD("rtdtrading.rtdserver",, "KLBN11_B_0", "ABE")</f>
        <v>17.45</v>
      </c>
      <c r="AR82">
        <f>RTD("rtdtrading.rtdserver",, "KLBN11_B_0", "MAX")</f>
        <v>17.600000000000001</v>
      </c>
      <c r="AS82">
        <f>RTD("rtdtrading.rtdserver",, "KLBN11_B_0", "MIN")</f>
        <v>17.43</v>
      </c>
      <c r="AT82">
        <f>RTD("rtdtrading.rtdserver",, "KLBN11_B_0", "FEC")</f>
        <v>17.52</v>
      </c>
      <c r="AU82">
        <f>RTD("rtdtrading.rtdserver",, "KLBN11_B_0", "PEX")</f>
        <v>0</v>
      </c>
      <c r="AV82">
        <f>RTD("rtdtrading.rtdserver",, "KLBN11_B_0", "VAR")</f>
        <v>-0.39954337899543541</v>
      </c>
      <c r="AW82">
        <f>RTD("rtdtrading.rtdserver",, "KLBN11_B_0", "VARPTS")</f>
        <v>-7.0000000000000284E-2</v>
      </c>
      <c r="AX82">
        <f>RTD("rtdtrading.rtdserver",, "KLBN11_B_0", "MED")</f>
        <v>17.482559239407241</v>
      </c>
      <c r="AY82" t="s">
        <v>394</v>
      </c>
      <c r="AZ82">
        <f>RTD("rtdtrading.rtdserver",, "KLBN11_B_0", "NEG")</f>
        <v>8033</v>
      </c>
      <c r="BA82">
        <f>RTD("rtdtrading.rtdserver",, "KLBN11_B_0", "QUL")</f>
        <v>0</v>
      </c>
      <c r="BB82">
        <f>RTD("rtdtrading.rtdserver",, "KLBN11_B_0", "QTT")</f>
        <v>4123100</v>
      </c>
      <c r="BC82">
        <f>RTD("rtdtrading.rtdserver",, "KLBN11_B_0", "VOL")</f>
        <v>72082340</v>
      </c>
      <c r="BD82">
        <f>RTD("rtdtrading.rtdserver",, "KLBN11_B_0", "OCP")</f>
        <v>17.45</v>
      </c>
      <c r="BE82">
        <f>RTD("rtdtrading.rtdserver",, "KLBN11_B_0", "OVD")</f>
        <v>17.559999999999999</v>
      </c>
      <c r="BF82">
        <f>RTD("rtdtrading.rtdserver",, "KLBN11_B_0", "VOC")</f>
        <v>400</v>
      </c>
      <c r="BG82">
        <f>RTD("rtdtrading.rtdserver",, "KLBN11_B_0", "VOV")</f>
        <v>900</v>
      </c>
      <c r="BH82">
        <f>RTD("rtdtrading.rtdserver",, "KLBN11_B_0", "AJU")</f>
        <v>0</v>
      </c>
      <c r="BI82">
        <f>RTD("rtdtrading.rtdserver",, "KLBN11_B_0", "AJA")</f>
        <v>0</v>
      </c>
      <c r="BJ82">
        <f>RTD("rtdtrading.rtdserver",, "KLBN11_B_0", "PRT")</f>
        <v>0</v>
      </c>
      <c r="BK82">
        <f>RTD("rtdtrading.rtdserver",, "KLBN11_B_0", "QTE")</f>
        <v>0</v>
      </c>
      <c r="BL82">
        <f>RTD("rtdtrading.rtdserver",, "KLBN11_B_0", "VPJ")</f>
        <v>72082340</v>
      </c>
      <c r="BM82">
        <f>RTD("rtdtrading.rtdserver",, "KLBN11_B_0", "SEM")</f>
        <v>0.4605641911341295</v>
      </c>
      <c r="BN82">
        <f>RTD("rtdtrading.rtdserver",, "KLBN11_B_0", "MES")</f>
        <v>-3.2705099778270506</v>
      </c>
      <c r="BO82">
        <f>RTD("rtdtrading.rtdserver",, "KLBN11_B_0", "3M")</f>
        <v>-6.9248945237701616</v>
      </c>
      <c r="BP82">
        <f>RTD("rtdtrading.rtdserver",, "KLBN11_B_0", "6M")</f>
        <v>-1.0927970616908986</v>
      </c>
      <c r="BQ82">
        <f>RTD("rtdtrading.rtdserver",, "KLBN11_B_0", "12M")</f>
        <v>-9.0107987756868582</v>
      </c>
      <c r="BR82">
        <f>RTD("rtdtrading.rtdserver",, "KLBN11_B_0", "ANO")</f>
        <v>-22.703131298365925</v>
      </c>
      <c r="BS82">
        <f>RTD("rtdtrading.rtdserver",, "KLBN11_B_0", "TRIM")</f>
        <v>-3.2705099778270506</v>
      </c>
      <c r="BT82">
        <f>RTD("rtdtrading.rtdserver",, "KLBN11_B_0", "SEMES")</f>
        <v>-4.1498448271126938</v>
      </c>
      <c r="BU82" t="str">
        <f>RTD("rtdtrading.rtdserver",, "KLBN11_B_0", "VEN")</f>
        <v>-</v>
      </c>
      <c r="BV82" t="str">
        <f>RTD("rtdtrading.rtdserver",, "KLBN11_B_0", "VAL")</f>
        <v>31/12/9999</v>
      </c>
      <c r="BW82">
        <f>RTD("rtdtrading.rtdserver",, "KLBN11_B_0", "CAB")</f>
        <v>0</v>
      </c>
      <c r="BX82" t="str">
        <f>RTD("rtdtrading.rtdserver",, "KLBN11_B_0", "EST")</f>
        <v>Pré-Fechamento</v>
      </c>
      <c r="BY82" t="str">
        <f>RTD("rtdtrading.rtdserver",, "KLBN11_B_0", "BLACK")</f>
        <v>-</v>
      </c>
      <c r="BZ82" t="str">
        <f>RTD("rtdtrading.rtdserver",, "KLBN11_B_0", "IMPVT")</f>
        <v>-</v>
      </c>
      <c r="CA82" t="str">
        <f>RTD("rtdtrading.rtdserver",, "KLBN11_B_0", "DELTA")</f>
        <v>-</v>
      </c>
      <c r="CB82" t="str">
        <f>RTD("rtdtrading.rtdserver",, "KLBN11_B_0", "GAMA")</f>
        <v>-</v>
      </c>
      <c r="CC82" t="str">
        <f>RTD("rtdtrading.rtdserver",, "KLBN11_B_0", "THETA")</f>
        <v>-</v>
      </c>
      <c r="CD82" t="str">
        <f>RTD("rtdtrading.rtdserver",, "KLBN11_B_0", "RHO")</f>
        <v>-</v>
      </c>
      <c r="CE82" t="str">
        <f>RTD("rtdtrading.rtdserver",, "KLBN11_B_0", "VEGA")</f>
        <v>-</v>
      </c>
      <c r="CF82" t="str">
        <f>RTD("rtdtrading.rtdserver",, "KLBN11_B_0", "VIA")</f>
        <v>-</v>
      </c>
      <c r="CG82" t="str">
        <f>RTD("rtdtrading.rtdserver",, "KLBN11_B_0", "VIB")</f>
        <v>-</v>
      </c>
      <c r="CH82" t="str">
        <f>RTD("rtdtrading.rtdserver",, "KLBN11_B_0", "DOBRAR")</f>
        <v>-</v>
      </c>
      <c r="CI82" t="str">
        <f>RTD("rtdtrading.rtdserver",, "KLBN11_B_0", "VIVH")</f>
        <v>-</v>
      </c>
      <c r="CJ82" t="str">
        <f>RTD("rtdtrading.rtdserver",, "KLBN11_B_0", "VINT")</f>
        <v>-</v>
      </c>
      <c r="CK82" t="str">
        <f>RTD("rtdtrading.rtdserver",, "KLBN11_B_0", "VEXT")</f>
        <v>-</v>
      </c>
    </row>
    <row r="83" spans="1:89" x14ac:dyDescent="0.25">
      <c r="B83" t="s">
        <v>365</v>
      </c>
      <c r="C83" t="s">
        <v>401</v>
      </c>
      <c r="D83" t="s">
        <v>142</v>
      </c>
      <c r="E83" s="76">
        <v>498192519</v>
      </c>
      <c r="F83">
        <v>6.8000000000000005E-2</v>
      </c>
      <c r="J83" s="3">
        <f>RTD("rtdtrading.rtdserver",, $B83&amp;"_B_0", J$4)</f>
        <v>2.93</v>
      </c>
      <c r="K83" s="3">
        <f>RTD("rtdtrading.rtdserver",, $B83&amp;"_B_0", K$4)</f>
        <v>2.9000000000000004</v>
      </c>
      <c r="L83" s="3">
        <f>RTD("rtdtrading.rtdserver",, $B83&amp;"_B_0", L$4)</f>
        <v>0</v>
      </c>
      <c r="M83" s="3">
        <f t="shared" si="15"/>
        <v>2.9000000000000004</v>
      </c>
      <c r="O83" s="33">
        <f t="shared" si="16"/>
        <v>96.197601543176219</v>
      </c>
      <c r="P83" s="10">
        <f t="shared" si="13"/>
        <v>-1.0238907849829282E-2</v>
      </c>
      <c r="Q83">
        <v>7.7999999999999999E-5</v>
      </c>
      <c r="R83" s="17">
        <f t="shared" si="17"/>
        <v>-1.0160907849829282E-2</v>
      </c>
      <c r="S83">
        <v>78</v>
      </c>
      <c r="T83" s="10" t="str">
        <f t="shared" si="18"/>
        <v>NATU3</v>
      </c>
      <c r="U83" s="10">
        <f t="shared" si="14"/>
        <v>-2.7100663518299983E-2</v>
      </c>
      <c r="V83" t="str">
        <f t="shared" si="19"/>
        <v/>
      </c>
      <c r="W83" s="10" t="str">
        <f t="shared" si="20"/>
        <v>MGLU3</v>
      </c>
      <c r="X83" s="10">
        <f t="shared" si="21"/>
        <v>2.0977232558139748E-2</v>
      </c>
      <c r="Y83" s="33">
        <f t="shared" si="22"/>
        <v>96.197601543176219</v>
      </c>
      <c r="Z83" s="80">
        <f t="shared" si="23"/>
        <v>0</v>
      </c>
      <c r="AM83" t="s">
        <v>396</v>
      </c>
      <c r="AN83" t="str">
        <f>RTD("rtdtrading.rtdserver",, "CAML3_B_0", "DAT")</f>
        <v>14/10/2025</v>
      </c>
      <c r="AO83" t="str">
        <f>RTD("rtdtrading.rtdserver",, "CAML3_B_0", "HOR")</f>
        <v>17:54:39</v>
      </c>
      <c r="AP83">
        <f>RTD("rtdtrading.rtdserver",, "CAML3_B_0", "ULT")</f>
        <v>4.91</v>
      </c>
      <c r="AQ83">
        <f>RTD("rtdtrading.rtdserver",, "CAML3_B_0", "ABE")</f>
        <v>4.9400000000000004</v>
      </c>
      <c r="AR83">
        <f>RTD("rtdtrading.rtdserver",, "CAML3_B_0", "MAX")</f>
        <v>5.07</v>
      </c>
      <c r="AS83">
        <f>RTD("rtdtrading.rtdserver",, "CAML3_B_0", "MIN")</f>
        <v>4.91</v>
      </c>
      <c r="AT83">
        <f>RTD("rtdtrading.rtdserver",, "CAML3_B_0", "FEC")</f>
        <v>4.9800000000000004</v>
      </c>
      <c r="AU83">
        <f>RTD("rtdtrading.rtdserver",, "CAML3_B_0", "PEX")</f>
        <v>0</v>
      </c>
      <c r="AV83">
        <f>RTD("rtdtrading.rtdserver",, "CAML3_B_0", "VAR")</f>
        <v>-1.4056224899598448</v>
      </c>
      <c r="AW83">
        <f>RTD("rtdtrading.rtdserver",, "CAML3_B_0", "VARPTS")</f>
        <v>-7.0000000000000284E-2</v>
      </c>
      <c r="AX83">
        <f>RTD("rtdtrading.rtdserver",, "CAML3_B_0", "MED")</f>
        <v>4.9781669212609359</v>
      </c>
      <c r="AY83" t="s">
        <v>397</v>
      </c>
      <c r="AZ83">
        <f>RTD("rtdtrading.rtdserver",, "CAML3_B_0", "NEG")</f>
        <v>1989</v>
      </c>
      <c r="BA83">
        <f>RTD("rtdtrading.rtdserver",, "CAML3_B_0", "QUL")</f>
        <v>0</v>
      </c>
      <c r="BB83">
        <f>RTD("rtdtrading.rtdserver",, "CAML3_B_0", "QTT")</f>
        <v>720100</v>
      </c>
      <c r="BC83">
        <f>RTD("rtdtrading.rtdserver",, "CAML3_B_0", "VOL")</f>
        <v>3584778</v>
      </c>
      <c r="BD83">
        <f>RTD("rtdtrading.rtdserver",, "CAML3_B_0", "OCP")</f>
        <v>4.9000000000000004</v>
      </c>
      <c r="BE83">
        <f>RTD("rtdtrading.rtdserver",, "CAML3_B_0", "OVD")</f>
        <v>4.97</v>
      </c>
      <c r="BF83">
        <f>RTD("rtdtrading.rtdserver",, "CAML3_B_0", "VOC")</f>
        <v>1500</v>
      </c>
      <c r="BG83">
        <f>RTD("rtdtrading.rtdserver",, "CAML3_B_0", "VOV")</f>
        <v>1000</v>
      </c>
      <c r="BH83">
        <f>RTD("rtdtrading.rtdserver",, "CAML3_B_0", "AJU")</f>
        <v>0</v>
      </c>
      <c r="BI83">
        <f>RTD("rtdtrading.rtdserver",, "CAML3_B_0", "AJA")</f>
        <v>0</v>
      </c>
      <c r="BJ83">
        <f>RTD("rtdtrading.rtdserver",, "CAML3_B_0", "PRT")</f>
        <v>0</v>
      </c>
      <c r="BK83">
        <f>RTD("rtdtrading.rtdserver",, "CAML3_B_0", "QTE")</f>
        <v>0</v>
      </c>
      <c r="BL83">
        <f>RTD("rtdtrading.rtdserver",, "CAML3_B_0", "VPJ")</f>
        <v>3584778</v>
      </c>
      <c r="BM83">
        <f>RTD("rtdtrading.rtdserver",, "CAML3_B_0", "SEM")</f>
        <v>0.40899795501021613</v>
      </c>
      <c r="BN83">
        <f>RTD("rtdtrading.rtdserver",, "CAML3_B_0", "MES")</f>
        <v>-2.7722772277227659</v>
      </c>
      <c r="BO83">
        <f>RTD("rtdtrading.rtdserver",, "CAML3_B_0", "3M")</f>
        <v>-4.8836713740532032</v>
      </c>
      <c r="BP83">
        <f>RTD("rtdtrading.rtdserver",, "CAML3_B_0", "6M")</f>
        <v>26.847163377079674</v>
      </c>
      <c r="BQ83">
        <f>RTD("rtdtrading.rtdserver",, "CAML3_B_0", "12M")</f>
        <v>-37.262017326416398</v>
      </c>
      <c r="BR83">
        <f>RTD("rtdtrading.rtdserver",, "CAML3_B_0", "ANO")</f>
        <v>-12.391827995360879</v>
      </c>
      <c r="BS83">
        <f>RTD("rtdtrading.rtdserver",, "CAML3_B_0", "TRIM")</f>
        <v>-2.7722772277227659</v>
      </c>
      <c r="BT83">
        <f>RTD("rtdtrading.rtdserver",, "CAML3_B_0", "SEMES")</f>
        <v>-2.8396161076481725</v>
      </c>
      <c r="BU83" t="str">
        <f>RTD("rtdtrading.rtdserver",, "CAML3_B_0", "VEN")</f>
        <v>-</v>
      </c>
      <c r="BV83" t="str">
        <f>RTD("rtdtrading.rtdserver",, "CAML3_B_0", "VAL")</f>
        <v>31/12/9999</v>
      </c>
      <c r="BW83">
        <f>RTD("rtdtrading.rtdserver",, "CAML3_B_0", "CAB")</f>
        <v>0</v>
      </c>
      <c r="BX83" t="str">
        <f>RTD("rtdtrading.rtdserver",, "CAML3_B_0", "EST")</f>
        <v>Pré-Fechamento</v>
      </c>
      <c r="BY83" t="str">
        <f>RTD("rtdtrading.rtdserver",, "CAML3_B_0", "BLACK")</f>
        <v>-</v>
      </c>
      <c r="BZ83" t="str">
        <f>RTD("rtdtrading.rtdserver",, "CAML3_B_0", "IMPVT")</f>
        <v>-</v>
      </c>
      <c r="CA83" t="str">
        <f>RTD("rtdtrading.rtdserver",, "CAML3_B_0", "DELTA")</f>
        <v>-</v>
      </c>
      <c r="CB83" t="str">
        <f>RTD("rtdtrading.rtdserver",, "CAML3_B_0", "GAMA")</f>
        <v>-</v>
      </c>
      <c r="CC83" t="str">
        <f>RTD("rtdtrading.rtdserver",, "CAML3_B_0", "THETA")</f>
        <v>-</v>
      </c>
      <c r="CD83" t="str">
        <f>RTD("rtdtrading.rtdserver",, "CAML3_B_0", "RHO")</f>
        <v>-</v>
      </c>
      <c r="CE83" t="str">
        <f>RTD("rtdtrading.rtdserver",, "CAML3_B_0", "VEGA")</f>
        <v>-</v>
      </c>
      <c r="CF83" t="str">
        <f>RTD("rtdtrading.rtdserver",, "CAML3_B_0", "VIA")</f>
        <v>-</v>
      </c>
      <c r="CG83" t="str">
        <f>RTD("rtdtrading.rtdserver",, "CAML3_B_0", "VIB")</f>
        <v>-</v>
      </c>
      <c r="CH83" t="str">
        <f>RTD("rtdtrading.rtdserver",, "CAML3_B_0", "DOBRAR")</f>
        <v>-</v>
      </c>
      <c r="CI83" t="str">
        <f>RTD("rtdtrading.rtdserver",, "CAML3_B_0", "VIVH")</f>
        <v>-</v>
      </c>
      <c r="CJ83" t="str">
        <f>RTD("rtdtrading.rtdserver",, "CAML3_B_0", "VINT")</f>
        <v>-</v>
      </c>
      <c r="CK83" t="str">
        <f>RTD("rtdtrading.rtdserver",, "CAML3_B_0", "VEXT")</f>
        <v>-</v>
      </c>
    </row>
    <row r="84" spans="1:89" x14ac:dyDescent="0.25">
      <c r="B84" t="s">
        <v>404</v>
      </c>
      <c r="C84" t="s">
        <v>405</v>
      </c>
      <c r="D84" t="s">
        <v>142</v>
      </c>
      <c r="E84" s="76">
        <v>1112563218</v>
      </c>
      <c r="F84">
        <v>1.23</v>
      </c>
      <c r="J84" s="3">
        <f>RTD("rtdtrading.rtdserver",, $B84&amp;"_B_0", J$4)</f>
        <v>23.64</v>
      </c>
      <c r="K84" s="3">
        <f>RTD("rtdtrading.rtdserver",, $B84&amp;"_B_0", K$4)</f>
        <v>23.52</v>
      </c>
      <c r="L84" s="3">
        <f>RTD("rtdtrading.rtdserver",, $B84&amp;"_B_0", L$4)</f>
        <v>0</v>
      </c>
      <c r="M84" s="3">
        <f t="shared" si="15"/>
        <v>23.52</v>
      </c>
      <c r="O84" s="33">
        <f t="shared" si="16"/>
        <v>1742.3325881503149</v>
      </c>
      <c r="P84" s="10">
        <f t="shared" si="13"/>
        <v>-5.0761421319797106E-3</v>
      </c>
      <c r="Q84">
        <v>7.8999999999999996E-5</v>
      </c>
      <c r="R84" s="17">
        <f t="shared" si="17"/>
        <v>-4.9971421319797106E-3</v>
      </c>
      <c r="S84">
        <v>79</v>
      </c>
      <c r="T84" s="10" t="str">
        <f t="shared" si="18"/>
        <v>BRAV3</v>
      </c>
      <c r="U84" s="10">
        <f t="shared" si="14"/>
        <v>-3.3958587399629467E-2</v>
      </c>
      <c r="V84" t="str">
        <f t="shared" si="19"/>
        <v/>
      </c>
      <c r="W84" s="10" t="str">
        <f t="shared" si="20"/>
        <v>BEEF3</v>
      </c>
      <c r="X84" s="10">
        <f t="shared" si="21"/>
        <v>2.4817801857585205E-2</v>
      </c>
      <c r="Y84" s="33">
        <f t="shared" si="22"/>
        <v>1742.3325881503149</v>
      </c>
      <c r="Z84" s="80">
        <f t="shared" si="23"/>
        <v>0</v>
      </c>
      <c r="AM84" t="s">
        <v>399</v>
      </c>
      <c r="AN84" t="str">
        <f>RTD("rtdtrading.rtdserver",, "TTEN3_B_0", "DAT")</f>
        <v>14/10/2025</v>
      </c>
      <c r="AO84" t="str">
        <f>RTD("rtdtrading.rtdserver",, "TTEN3_B_0", "HOR")</f>
        <v>17:56:54</v>
      </c>
      <c r="AP84">
        <f>RTD("rtdtrading.rtdserver",, "TTEN3_B_0", "ULT")</f>
        <v>13.75</v>
      </c>
      <c r="AQ84">
        <f>RTD("rtdtrading.rtdserver",, "TTEN3_B_0", "ABE")</f>
        <v>13.67</v>
      </c>
      <c r="AR84">
        <f>RTD("rtdtrading.rtdserver",, "TTEN3_B_0", "MAX")</f>
        <v>13.82</v>
      </c>
      <c r="AS84">
        <f>RTD("rtdtrading.rtdserver",, "TTEN3_B_0", "MIN")</f>
        <v>13.53</v>
      </c>
      <c r="AT84">
        <f>RTD("rtdtrading.rtdserver",, "TTEN3_B_0", "FEC")</f>
        <v>13.680000000000001</v>
      </c>
      <c r="AU84">
        <f>RTD("rtdtrading.rtdserver",, "TTEN3_B_0", "PEX")</f>
        <v>0</v>
      </c>
      <c r="AV84">
        <f>RTD("rtdtrading.rtdserver",, "TTEN3_B_0", "VAR")</f>
        <v>0.51169590643273755</v>
      </c>
      <c r="AW84">
        <f>RTD("rtdtrading.rtdserver",, "TTEN3_B_0", "VARPTS")</f>
        <v>6.9999999999998508E-2</v>
      </c>
      <c r="AX84">
        <f>RTD("rtdtrading.rtdserver",, "TTEN3_B_0", "MED")</f>
        <v>13.733078909868187</v>
      </c>
      <c r="AY84" t="s">
        <v>400</v>
      </c>
      <c r="AZ84">
        <f>RTD("rtdtrading.rtdserver",, "TTEN3_B_0", "NEG")</f>
        <v>3877</v>
      </c>
      <c r="BA84">
        <f>RTD("rtdtrading.rtdserver",, "TTEN3_B_0", "QUL")</f>
        <v>0</v>
      </c>
      <c r="BB84">
        <f>RTD("rtdtrading.rtdserver",, "TTEN3_B_0", "QTT")</f>
        <v>1122800</v>
      </c>
      <c r="BC84">
        <f>RTD("rtdtrading.rtdserver",, "TTEN3_B_0", "VOL")</f>
        <v>15419501</v>
      </c>
      <c r="BD84">
        <f>RTD("rtdtrading.rtdserver",, "TTEN3_B_0", "OCP")</f>
        <v>13.65</v>
      </c>
      <c r="BE84">
        <f>RTD("rtdtrading.rtdserver",, "TTEN3_B_0", "OVD")</f>
        <v>13.83</v>
      </c>
      <c r="BF84">
        <f>RTD("rtdtrading.rtdserver",, "TTEN3_B_0", "VOC")</f>
        <v>300</v>
      </c>
      <c r="BG84">
        <f>RTD("rtdtrading.rtdserver",, "TTEN3_B_0", "VOV")</f>
        <v>400</v>
      </c>
      <c r="BH84">
        <f>RTD("rtdtrading.rtdserver",, "TTEN3_B_0", "AJU")</f>
        <v>0</v>
      </c>
      <c r="BI84">
        <f>RTD("rtdtrading.rtdserver",, "TTEN3_B_0", "AJA")</f>
        <v>0</v>
      </c>
      <c r="BJ84">
        <f>RTD("rtdtrading.rtdserver",, "TTEN3_B_0", "PRT")</f>
        <v>0</v>
      </c>
      <c r="BK84">
        <f>RTD("rtdtrading.rtdserver",, "TTEN3_B_0", "QTE")</f>
        <v>0</v>
      </c>
      <c r="BL84">
        <f>RTD("rtdtrading.rtdserver",, "TTEN3_B_0", "VPJ")</f>
        <v>15419501</v>
      </c>
      <c r="BM84">
        <f>RTD("rtdtrading.rtdserver",, "TTEN3_B_0", "SEM")</f>
        <v>0.29175784099197044</v>
      </c>
      <c r="BN84">
        <f>RTD("rtdtrading.rtdserver",, "TTEN3_B_0", "MES")</f>
        <v>-1.6452074391988585</v>
      </c>
      <c r="BO84">
        <f>RTD("rtdtrading.rtdserver",, "TTEN3_B_0", "3M")</f>
        <v>0.21865889212827522</v>
      </c>
      <c r="BP84">
        <f>RTD("rtdtrading.rtdserver",, "TTEN3_B_0", "6M")</f>
        <v>-5.6280027453671941</v>
      </c>
      <c r="BQ84">
        <f>RTD("rtdtrading.rtdserver",, "TTEN3_B_0", "12M")</f>
        <v>30.794182274772407</v>
      </c>
      <c r="BR84">
        <f>RTD("rtdtrading.rtdserver",, "TTEN3_B_0", "ANO")</f>
        <v>1.3794984848373073</v>
      </c>
      <c r="BS84">
        <f>RTD("rtdtrading.rtdserver",, "TTEN3_B_0", "TRIM")</f>
        <v>-1.6452074391988585</v>
      </c>
      <c r="BT84">
        <f>RTD("rtdtrading.rtdserver",, "TTEN3_B_0", "SEMES")</f>
        <v>-9.0006618133686374</v>
      </c>
      <c r="BU84" t="str">
        <f>RTD("rtdtrading.rtdserver",, "TTEN3_B_0", "VEN")</f>
        <v>-</v>
      </c>
      <c r="BV84" t="str">
        <f>RTD("rtdtrading.rtdserver",, "TTEN3_B_0", "VAL")</f>
        <v>31/12/9999</v>
      </c>
      <c r="BW84">
        <f>RTD("rtdtrading.rtdserver",, "TTEN3_B_0", "CAB")</f>
        <v>0</v>
      </c>
      <c r="BX84" t="str">
        <f>RTD("rtdtrading.rtdserver",, "TTEN3_B_0", "EST")</f>
        <v>Pré-Fechamento</v>
      </c>
      <c r="BY84" t="str">
        <f>RTD("rtdtrading.rtdserver",, "TTEN3_B_0", "BLACK")</f>
        <v>-</v>
      </c>
      <c r="BZ84" t="str">
        <f>RTD("rtdtrading.rtdserver",, "TTEN3_B_0", "IMPVT")</f>
        <v>-</v>
      </c>
      <c r="CA84" t="str">
        <f>RTD("rtdtrading.rtdserver",, "TTEN3_B_0", "DELTA")</f>
        <v>-</v>
      </c>
      <c r="CB84" t="str">
        <f>RTD("rtdtrading.rtdserver",, "TTEN3_B_0", "GAMA")</f>
        <v>-</v>
      </c>
      <c r="CC84" t="str">
        <f>RTD("rtdtrading.rtdserver",, "TTEN3_B_0", "THETA")</f>
        <v>-</v>
      </c>
      <c r="CD84" t="str">
        <f>RTD("rtdtrading.rtdserver",, "TTEN3_B_0", "RHO")</f>
        <v>-</v>
      </c>
      <c r="CE84" t="str">
        <f>RTD("rtdtrading.rtdserver",, "TTEN3_B_0", "VEGA")</f>
        <v>-</v>
      </c>
      <c r="CF84" t="str">
        <f>RTD("rtdtrading.rtdserver",, "TTEN3_B_0", "VIA")</f>
        <v>-</v>
      </c>
      <c r="CG84" t="str">
        <f>RTD("rtdtrading.rtdserver",, "TTEN3_B_0", "VIB")</f>
        <v>-</v>
      </c>
      <c r="CH84" t="str">
        <f>RTD("rtdtrading.rtdserver",, "TTEN3_B_0", "DOBRAR")</f>
        <v>-</v>
      </c>
      <c r="CI84" t="str">
        <f>RTD("rtdtrading.rtdserver",, "TTEN3_B_0", "VIVH")</f>
        <v>-</v>
      </c>
      <c r="CJ84" t="str">
        <f>RTD("rtdtrading.rtdserver",, "TTEN3_B_0", "VINT")</f>
        <v>-</v>
      </c>
      <c r="CK84" t="str">
        <f>RTD("rtdtrading.rtdserver",, "TTEN3_B_0", "VEXT")</f>
        <v>-</v>
      </c>
    </row>
    <row r="85" spans="1:89" x14ac:dyDescent="0.25">
      <c r="B85" t="s">
        <v>406</v>
      </c>
      <c r="C85" t="s">
        <v>407</v>
      </c>
      <c r="D85" t="s">
        <v>142</v>
      </c>
      <c r="E85" s="76">
        <v>123160591</v>
      </c>
      <c r="F85">
        <v>0.156</v>
      </c>
      <c r="J85" s="3">
        <f>RTD("rtdtrading.rtdserver",, $B85&amp;"_B_0", J$4)</f>
        <v>27</v>
      </c>
      <c r="K85" s="3">
        <f>RTD("rtdtrading.rtdserver",, $B85&amp;"_B_0", K$4)</f>
        <v>27.01</v>
      </c>
      <c r="L85" s="3">
        <f>RTD("rtdtrading.rtdserver",, $B85&amp;"_B_0", L$4)</f>
        <v>0</v>
      </c>
      <c r="M85" s="3">
        <f t="shared" si="15"/>
        <v>27.01</v>
      </c>
      <c r="O85" s="33">
        <f t="shared" si="16"/>
        <v>221.4957476234209</v>
      </c>
      <c r="P85" s="10">
        <f t="shared" si="13"/>
        <v>3.7037037037035425E-4</v>
      </c>
      <c r="Q85">
        <v>8.0000000000000007E-5</v>
      </c>
      <c r="R85" s="17">
        <f t="shared" si="17"/>
        <v>4.5037037037035424E-4</v>
      </c>
      <c r="S85">
        <v>80</v>
      </c>
      <c r="T85" s="10" t="str">
        <f t="shared" si="18"/>
        <v>EGIE3</v>
      </c>
      <c r="U85" s="10">
        <f t="shared" si="14"/>
        <v>-3.4907759036144438E-2</v>
      </c>
      <c r="V85" t="str">
        <f t="shared" si="19"/>
        <v/>
      </c>
      <c r="W85" s="10" t="str">
        <f t="shared" si="20"/>
        <v>USIM5</v>
      </c>
      <c r="X85" s="10">
        <f t="shared" si="21"/>
        <v>2.8837061946902533E-2</v>
      </c>
      <c r="Y85" s="33">
        <f t="shared" si="22"/>
        <v>221.4957476234209</v>
      </c>
      <c r="Z85" s="80">
        <f t="shared" si="23"/>
        <v>0</v>
      </c>
      <c r="AM85" t="s">
        <v>402</v>
      </c>
      <c r="AN85" t="str">
        <f>RTD("rtdtrading.rtdserver",, "RANI3_B_0", "DAT")</f>
        <v>14/10/2025</v>
      </c>
      <c r="AO85" t="str">
        <f>RTD("rtdtrading.rtdserver",, "RANI3_B_0", "HOR")</f>
        <v>17:56:44</v>
      </c>
      <c r="AP85">
        <f>RTD("rtdtrading.rtdserver",, "RANI3_B_0", "ULT")</f>
        <v>8.8600000000000012</v>
      </c>
      <c r="AQ85">
        <f>RTD("rtdtrading.rtdserver",, "RANI3_B_0", "ABE")</f>
        <v>8.67</v>
      </c>
      <c r="AR85">
        <f>RTD("rtdtrading.rtdserver",, "RANI3_B_0", "MAX")</f>
        <v>8.93</v>
      </c>
      <c r="AS85">
        <f>RTD("rtdtrading.rtdserver",, "RANI3_B_0", "MIN")</f>
        <v>8.66</v>
      </c>
      <c r="AT85">
        <f>RTD("rtdtrading.rtdserver",, "RANI3_B_0", "FEC")</f>
        <v>8.7100000000000009</v>
      </c>
      <c r="AU85">
        <f>RTD("rtdtrading.rtdserver",, "RANI3_B_0", "PEX")</f>
        <v>0</v>
      </c>
      <c r="AV85">
        <f>RTD("rtdtrading.rtdserver",, "RANI3_B_0", "VAR")</f>
        <v>1.7221584385763531</v>
      </c>
      <c r="AW85">
        <f>RTD("rtdtrading.rtdserver",, "RANI3_B_0", "VARPTS")</f>
        <v>0.15000000000000036</v>
      </c>
      <c r="AX85">
        <f>RTD("rtdtrading.rtdserver",, "RANI3_B_0", "MED")</f>
        <v>8.8400712174146729</v>
      </c>
      <c r="AY85" t="s">
        <v>403</v>
      </c>
      <c r="AZ85">
        <f>RTD("rtdtrading.rtdserver",, "RANI3_B_0", "NEG")</f>
        <v>1952</v>
      </c>
      <c r="BA85">
        <f>RTD("rtdtrading.rtdserver",, "RANI3_B_0", "QUL")</f>
        <v>0</v>
      </c>
      <c r="BB85">
        <f>RTD("rtdtrading.rtdserver",, "RANI3_B_0", "QTT")</f>
        <v>744200</v>
      </c>
      <c r="BC85">
        <f>RTD("rtdtrading.rtdserver",, "RANI3_B_0", "VOL")</f>
        <v>6578781</v>
      </c>
      <c r="BD85">
        <f>RTD("rtdtrading.rtdserver",, "RANI3_B_0", "OCP")</f>
        <v>8.8000000000000007</v>
      </c>
      <c r="BE85">
        <f>RTD("rtdtrading.rtdserver",, "RANI3_B_0", "OVD")</f>
        <v>8.85</v>
      </c>
      <c r="BF85">
        <f>RTD("rtdtrading.rtdserver",, "RANI3_B_0", "VOC")</f>
        <v>800</v>
      </c>
      <c r="BG85">
        <f>RTD("rtdtrading.rtdserver",, "RANI3_B_0", "VOV")</f>
        <v>500</v>
      </c>
      <c r="BH85">
        <f>RTD("rtdtrading.rtdserver",, "RANI3_B_0", "AJU")</f>
        <v>0</v>
      </c>
      <c r="BI85">
        <f>RTD("rtdtrading.rtdserver",, "RANI3_B_0", "AJA")</f>
        <v>0</v>
      </c>
      <c r="BJ85">
        <f>RTD("rtdtrading.rtdserver",, "RANI3_B_0", "PRT")</f>
        <v>0</v>
      </c>
      <c r="BK85">
        <f>RTD("rtdtrading.rtdserver",, "RANI3_B_0", "QTE")</f>
        <v>0</v>
      </c>
      <c r="BL85">
        <f>RTD("rtdtrading.rtdserver",, "RANI3_B_0", "VPJ")</f>
        <v>6578781</v>
      </c>
      <c r="BM85">
        <f>RTD("rtdtrading.rtdserver",, "RANI3_B_0", "SEM")</f>
        <v>1.4891179839633537</v>
      </c>
      <c r="BN85">
        <f>RTD("rtdtrading.rtdserver",, "RANI3_B_0", "MES")</f>
        <v>6.2350119904076902</v>
      </c>
      <c r="BO85">
        <f>RTD("rtdtrading.rtdserver",, "RANI3_B_0", "3M")</f>
        <v>24.29679718298004</v>
      </c>
      <c r="BP85">
        <f>RTD("rtdtrading.rtdserver",, "RANI3_B_0", "6M")</f>
        <v>31.543783591175</v>
      </c>
      <c r="BQ85">
        <f>RTD("rtdtrading.rtdserver",, "RANI3_B_0", "12M")</f>
        <v>30.794213167995295</v>
      </c>
      <c r="BR85">
        <f>RTD("rtdtrading.rtdserver",, "RANI3_B_0", "ANO")</f>
        <v>42.452890861148632</v>
      </c>
      <c r="BS85">
        <f>RTD("rtdtrading.rtdserver",, "RANI3_B_0", "TRIM")</f>
        <v>6.2350119904076902</v>
      </c>
      <c r="BT85">
        <f>RTD("rtdtrading.rtdserver",, "RANI3_B_0", "SEMES")</f>
        <v>23.611808694681635</v>
      </c>
      <c r="BU85" t="str">
        <f>RTD("rtdtrading.rtdserver",, "RANI3_B_0", "VEN")</f>
        <v>-</v>
      </c>
      <c r="BV85" t="str">
        <f>RTD("rtdtrading.rtdserver",, "RANI3_B_0", "VAL")</f>
        <v>31/12/9999</v>
      </c>
      <c r="BW85">
        <f>RTD("rtdtrading.rtdserver",, "RANI3_B_0", "CAB")</f>
        <v>0</v>
      </c>
      <c r="BX85" t="str">
        <f>RTD("rtdtrading.rtdserver",, "RANI3_B_0", "EST")</f>
        <v>Pré-Fechamento</v>
      </c>
      <c r="BY85" t="str">
        <f>RTD("rtdtrading.rtdserver",, "RANI3_B_0", "BLACK")</f>
        <v>-</v>
      </c>
      <c r="BZ85" t="str">
        <f>RTD("rtdtrading.rtdserver",, "RANI3_B_0", "IMPVT")</f>
        <v>-</v>
      </c>
      <c r="CA85" t="str">
        <f>RTD("rtdtrading.rtdserver",, "RANI3_B_0", "DELTA")</f>
        <v>-</v>
      </c>
      <c r="CB85" t="str">
        <f>RTD("rtdtrading.rtdserver",, "RANI3_B_0", "GAMA")</f>
        <v>-</v>
      </c>
      <c r="CC85" t="str">
        <f>RTD("rtdtrading.rtdserver",, "RANI3_B_0", "THETA")</f>
        <v>-</v>
      </c>
      <c r="CD85" t="str">
        <f>RTD("rtdtrading.rtdserver",, "RANI3_B_0", "RHO")</f>
        <v>-</v>
      </c>
      <c r="CE85" t="str">
        <f>RTD("rtdtrading.rtdserver",, "RANI3_B_0", "VEGA")</f>
        <v>-</v>
      </c>
      <c r="CF85" t="str">
        <f>RTD("rtdtrading.rtdserver",, "RANI3_B_0", "VIA")</f>
        <v>-</v>
      </c>
      <c r="CG85" t="str">
        <f>RTD("rtdtrading.rtdserver",, "RANI3_B_0", "VIB")</f>
        <v>-</v>
      </c>
      <c r="CH85" t="str">
        <f>RTD("rtdtrading.rtdserver",, "RANI3_B_0", "DOBRAR")</f>
        <v>-</v>
      </c>
      <c r="CI85" t="str">
        <f>RTD("rtdtrading.rtdserver",, "RANI3_B_0", "VIVH")</f>
        <v>-</v>
      </c>
      <c r="CJ85" t="str">
        <f>RTD("rtdtrading.rtdserver",, "RANI3_B_0", "VINT")</f>
        <v>-</v>
      </c>
      <c r="CK85" t="str">
        <f>RTD("rtdtrading.rtdserver",, "RANI3_B_0", "VEXT")</f>
        <v>-</v>
      </c>
    </row>
    <row r="86" spans="1:89" x14ac:dyDescent="0.25">
      <c r="B86" t="s">
        <v>408</v>
      </c>
      <c r="C86" t="s">
        <v>409</v>
      </c>
      <c r="D86" t="s">
        <v>142</v>
      </c>
      <c r="E86" s="76">
        <v>1485954732</v>
      </c>
      <c r="F86">
        <v>2.6070000000000002</v>
      </c>
      <c r="J86" s="3">
        <f>RTD("rtdtrading.rtdserver",, $B86&amp;"_B_0", J$4)</f>
        <v>37.840000000000003</v>
      </c>
      <c r="K86" s="3">
        <f>RTD("rtdtrading.rtdserver",, $B86&amp;"_B_0", K$4)</f>
        <v>37.33</v>
      </c>
      <c r="L86" s="3">
        <f>RTD("rtdtrading.rtdserver",, $B86&amp;"_B_0", L$4)</f>
        <v>0</v>
      </c>
      <c r="M86" s="3">
        <f t="shared" si="15"/>
        <v>37.33</v>
      </c>
      <c r="O86" s="33">
        <f t="shared" si="16"/>
        <v>3693.4533126481847</v>
      </c>
      <c r="P86" s="10">
        <f t="shared" si="13"/>
        <v>-1.3477801268499068E-2</v>
      </c>
      <c r="Q86">
        <v>8.1000000000000004E-5</v>
      </c>
      <c r="R86" s="17">
        <f t="shared" si="17"/>
        <v>-1.3396801268499068E-2</v>
      </c>
      <c r="S86">
        <v>81</v>
      </c>
      <c r="T86" s="10" t="str">
        <f t="shared" si="18"/>
        <v>MBRF3</v>
      </c>
      <c r="U86" s="10">
        <f t="shared" si="14"/>
        <v>-3.7081270610446825E-2</v>
      </c>
      <c r="V86" t="str">
        <f t="shared" si="19"/>
        <v/>
      </c>
      <c r="W86" s="10" t="str">
        <f t="shared" si="20"/>
        <v>RAIZ4</v>
      </c>
      <c r="X86" s="10">
        <f t="shared" si="21"/>
        <v>3.5356117647058698E-2</v>
      </c>
      <c r="Y86" s="33">
        <f t="shared" si="22"/>
        <v>3693.4533126481847</v>
      </c>
      <c r="Z86" s="80">
        <f t="shared" si="23"/>
        <v>0</v>
      </c>
      <c r="AM86" t="s">
        <v>465</v>
      </c>
      <c r="AN86" t="str">
        <f>RTD("rtdtrading.rtdserver",, "RANI3_B_0", "DAT")</f>
        <v>14/10/2025</v>
      </c>
      <c r="AO86" t="str">
        <f>RTD("rtdtrading.rtdserver",, "RANI3_B_0", "HOR")</f>
        <v>17:56:44</v>
      </c>
      <c r="AP86">
        <f>RTD("rtdtrading.rtdserver",, "RANI3_B_0", "ULT")</f>
        <v>8.8600000000000012</v>
      </c>
      <c r="AQ86">
        <f>RTD("rtdtrading.rtdserver",, "RANI3_B_0", "ABE")</f>
        <v>8.67</v>
      </c>
      <c r="AR86">
        <f>RTD("rtdtrading.rtdserver",, "RANI3_B_0", "MAX")</f>
        <v>8.93</v>
      </c>
      <c r="AS86">
        <f>RTD("rtdtrading.rtdserver",, "RANI3_B_0", "MIN")</f>
        <v>8.66</v>
      </c>
      <c r="AT86">
        <f>RTD("rtdtrading.rtdserver",, "RANI3_B_0", "FEC")</f>
        <v>8.7100000000000009</v>
      </c>
      <c r="AU86">
        <f>RTD("rtdtrading.rtdserver",, "RANI3_B_0", "PEX")</f>
        <v>0</v>
      </c>
      <c r="AV86">
        <f>RTD("rtdtrading.rtdserver",, "RANI3_B_0", "VAR")</f>
        <v>1.7221584385763531</v>
      </c>
      <c r="AW86">
        <f>RTD("rtdtrading.rtdserver",, "RANI3_B_0", "VARPTS")</f>
        <v>0.15000000000000036</v>
      </c>
      <c r="AX86">
        <f>RTD("rtdtrading.rtdserver",, "RANI3_B_0", "MED")</f>
        <v>8.8400712174146729</v>
      </c>
      <c r="AY86" t="s">
        <v>403</v>
      </c>
      <c r="AZ86">
        <f>RTD("rtdtrading.rtdserver",, "RANI3_B_0", "NEG")</f>
        <v>1952</v>
      </c>
      <c r="BA86">
        <f>RTD("rtdtrading.rtdserver",, "RANI3_B_0", "QUL")</f>
        <v>0</v>
      </c>
      <c r="BB86">
        <f>RTD("rtdtrading.rtdserver",, "RANI3_B_0", "QTT")</f>
        <v>744200</v>
      </c>
      <c r="BC86">
        <f>RTD("rtdtrading.rtdserver",, "RANI3_B_0", "VOL")</f>
        <v>6578781</v>
      </c>
      <c r="BD86">
        <f>RTD("rtdtrading.rtdserver",, "RANI3_B_0", "OCP")</f>
        <v>8.8000000000000007</v>
      </c>
      <c r="BE86">
        <f>RTD("rtdtrading.rtdserver",, "RANI3_B_0", "OVD")</f>
        <v>8.85</v>
      </c>
      <c r="BF86">
        <f>RTD("rtdtrading.rtdserver",, "RANI3_B_0", "VOC")</f>
        <v>800</v>
      </c>
      <c r="BG86">
        <f>RTD("rtdtrading.rtdserver",, "RANI3_B_0", "VOV")</f>
        <v>500</v>
      </c>
      <c r="BH86">
        <f>RTD("rtdtrading.rtdserver",, "RANI3_B_0", "AJU")</f>
        <v>0</v>
      </c>
      <c r="BI86">
        <f>RTD("rtdtrading.rtdserver",, "RANI3_B_0", "AJA")</f>
        <v>0</v>
      </c>
      <c r="BJ86">
        <f>RTD("rtdtrading.rtdserver",, "RANI3_B_0", "PRT")</f>
        <v>0</v>
      </c>
      <c r="BK86">
        <f>RTD("rtdtrading.rtdserver",, "RANI3_B_0", "QTE")</f>
        <v>0</v>
      </c>
      <c r="BL86">
        <f>RTD("rtdtrading.rtdserver",, "RANI3_B_0", "VPJ")</f>
        <v>6578781</v>
      </c>
      <c r="BM86">
        <f>RTD("rtdtrading.rtdserver",, "RANI3_B_0", "SEM")</f>
        <v>1.4891179839633537</v>
      </c>
      <c r="BN86">
        <f>RTD("rtdtrading.rtdserver",, "RANI3_B_0", "MES")</f>
        <v>6.2350119904076902</v>
      </c>
      <c r="BO86">
        <f>RTD("rtdtrading.rtdserver",, "RANI3_B_0", "3M")</f>
        <v>24.29679718298004</v>
      </c>
      <c r="BP86">
        <f>RTD("rtdtrading.rtdserver",, "RANI3_B_0", "6M")</f>
        <v>31.543783591175</v>
      </c>
      <c r="BQ86">
        <f>RTD("rtdtrading.rtdserver",, "RANI3_B_0", "12M")</f>
        <v>30.794213167995295</v>
      </c>
      <c r="BR86">
        <f>RTD("rtdtrading.rtdserver",, "RANI3_B_0", "ANO")</f>
        <v>42.452890861148632</v>
      </c>
      <c r="BS86">
        <f>RTD("rtdtrading.rtdserver",, "RANI3_B_0", "TRIM")</f>
        <v>6.2350119904076902</v>
      </c>
      <c r="BT86">
        <f>RTD("rtdtrading.rtdserver",, "RANI3_B_0", "SEMES")</f>
        <v>23.611808694681635</v>
      </c>
      <c r="BU86" t="str">
        <f>RTD("rtdtrading.rtdserver",, "RANI3_B_0", "VEN")</f>
        <v>-</v>
      </c>
      <c r="BV86" t="str">
        <f>RTD("rtdtrading.rtdserver",, "RANI3_B_0", "VAL")</f>
        <v>31/12/9999</v>
      </c>
      <c r="BW86">
        <f>RTD("rtdtrading.rtdserver",, "RANI3_B_0", "CAB")</f>
        <v>0</v>
      </c>
      <c r="BX86" t="str">
        <f>RTD("rtdtrading.rtdserver",, "RANI3_B_0", "EST")</f>
        <v>Pré-Fechamento</v>
      </c>
      <c r="BY86" t="str">
        <f>RTD("rtdtrading.rtdserver",, "RANI3_B_0", "BLACK")</f>
        <v>-</v>
      </c>
      <c r="BZ86" t="str">
        <f>RTD("rtdtrading.rtdserver",, "RANI3_B_0", "IMPVT")</f>
        <v>-</v>
      </c>
      <c r="CA86" t="str">
        <f>RTD("rtdtrading.rtdserver",, "RANI3_B_0", "DELTA")</f>
        <v>-</v>
      </c>
      <c r="CB86" t="str">
        <f>RTD("rtdtrading.rtdserver",, "RANI3_B_0", "GAMA")</f>
        <v>-</v>
      </c>
      <c r="CC86" t="str">
        <f>RTD("rtdtrading.rtdserver",, "RANI3_B_0", "THETA")</f>
        <v>-</v>
      </c>
      <c r="CD86" t="str">
        <f>RTD("rtdtrading.rtdserver",, "RANI3_B_0", "RHO")</f>
        <v>-</v>
      </c>
      <c r="CE86" t="str">
        <f>RTD("rtdtrading.rtdserver",, "RANI3_B_0", "VEGA")</f>
        <v>-</v>
      </c>
      <c r="CF86" t="str">
        <f>RTD("rtdtrading.rtdserver",, "RANI3_B_0", "VIA")</f>
        <v>-</v>
      </c>
      <c r="CG86" t="str">
        <f>RTD("rtdtrading.rtdserver",, "RANI3_B_0", "VIB")</f>
        <v>-</v>
      </c>
      <c r="CH86" t="str">
        <f>RTD("rtdtrading.rtdserver",, "RANI3_B_0", "DOBRAR")</f>
        <v>-</v>
      </c>
      <c r="CI86" t="str">
        <f>RTD("rtdtrading.rtdserver",, "RANI3_B_0", "VIVH")</f>
        <v>-</v>
      </c>
      <c r="CJ86" t="str">
        <f>RTD("rtdtrading.rtdserver",, "RANI3_B_0", "VINT")</f>
        <v>-</v>
      </c>
      <c r="CK86" t="str">
        <f>RTD("rtdtrading.rtdserver",, "RANI3_B_0", "VEXT")</f>
        <v>-</v>
      </c>
    </row>
    <row r="87" spans="1:89" x14ac:dyDescent="0.25">
      <c r="B87" t="s">
        <v>410</v>
      </c>
      <c r="C87" t="s">
        <v>411</v>
      </c>
      <c r="D87" t="s">
        <v>142</v>
      </c>
      <c r="E87" s="76">
        <v>260753144</v>
      </c>
      <c r="F87">
        <v>0.14099999999999999</v>
      </c>
      <c r="J87" s="3">
        <f>RTD("rtdtrading.rtdserver",, $B87&amp;"_B_0", J$4)</f>
        <v>11.57</v>
      </c>
      <c r="K87" s="3">
        <f>RTD("rtdtrading.rtdserver",, $B87&amp;"_B_0", K$4)</f>
        <v>11.520000000000001</v>
      </c>
      <c r="L87" s="3">
        <f>RTD("rtdtrading.rtdserver",, $B87&amp;"_B_0", L$4)</f>
        <v>0</v>
      </c>
      <c r="M87" s="3">
        <f t="shared" si="15"/>
        <v>11.520000000000001</v>
      </c>
      <c r="O87" s="33">
        <f t="shared" si="16"/>
        <v>200.00970859194337</v>
      </c>
      <c r="P87" s="10">
        <f t="shared" si="13"/>
        <v>-4.321521175453702E-3</v>
      </c>
      <c r="Q87">
        <v>8.2000000000000001E-5</v>
      </c>
      <c r="R87" s="17">
        <f t="shared" si="17"/>
        <v>-4.2395211754537023E-3</v>
      </c>
      <c r="S87">
        <v>82</v>
      </c>
      <c r="T87" s="10" t="str">
        <f t="shared" si="18"/>
        <v>COGN3</v>
      </c>
      <c r="U87" s="10">
        <f t="shared" si="14"/>
        <v>-3.9717099337748217E-2</v>
      </c>
      <c r="V87" t="str">
        <f t="shared" si="19"/>
        <v/>
      </c>
      <c r="W87" s="10" t="str">
        <f t="shared" si="20"/>
        <v>EMBR3</v>
      </c>
      <c r="X87" s="10">
        <f t="shared" si="21"/>
        <v>4.8886868020304675E-2</v>
      </c>
      <c r="Y87" s="33">
        <f t="shared" si="22"/>
        <v>200.00970859194337</v>
      </c>
      <c r="Z87" s="80">
        <f t="shared" si="23"/>
        <v>0</v>
      </c>
      <c r="AM87" t="s">
        <v>466</v>
      </c>
      <c r="AN87" t="str">
        <f>RTD("rtdtrading.rtdserver",, "RANI3_B_0", "DAT")</f>
        <v>14/10/2025</v>
      </c>
      <c r="AO87" t="str">
        <f>RTD("rtdtrading.rtdserver",, "RANI3_B_0", "HOR")</f>
        <v>17:56:44</v>
      </c>
      <c r="AP87">
        <f>RTD("rtdtrading.rtdserver",, "RANI3_B_0", "ULT")</f>
        <v>8.8600000000000012</v>
      </c>
      <c r="AQ87">
        <f>RTD("rtdtrading.rtdserver",, "RANI3_B_0", "ABE")</f>
        <v>8.67</v>
      </c>
      <c r="AR87">
        <f>RTD("rtdtrading.rtdserver",, "RANI3_B_0", "MAX")</f>
        <v>8.93</v>
      </c>
      <c r="AS87">
        <f>RTD("rtdtrading.rtdserver",, "RANI3_B_0", "MIN")</f>
        <v>8.66</v>
      </c>
      <c r="AT87">
        <f>RTD("rtdtrading.rtdserver",, "RANI3_B_0", "FEC")</f>
        <v>8.7100000000000009</v>
      </c>
      <c r="AU87">
        <f>RTD("rtdtrading.rtdserver",, "RANI3_B_0", "PEX")</f>
        <v>0</v>
      </c>
      <c r="AV87">
        <f>RTD("rtdtrading.rtdserver",, "RANI3_B_0", "VAR")</f>
        <v>1.7221584385763531</v>
      </c>
      <c r="AW87">
        <f>RTD("rtdtrading.rtdserver",, "RANI3_B_0", "VARPTS")</f>
        <v>0.15000000000000036</v>
      </c>
      <c r="AX87">
        <f>RTD("rtdtrading.rtdserver",, "RANI3_B_0", "MED")</f>
        <v>8.8400712174146729</v>
      </c>
      <c r="AY87" t="s">
        <v>403</v>
      </c>
      <c r="AZ87">
        <f>RTD("rtdtrading.rtdserver",, "RANI3_B_0", "NEG")</f>
        <v>1952</v>
      </c>
      <c r="BA87">
        <f>RTD("rtdtrading.rtdserver",, "RANI3_B_0", "QUL")</f>
        <v>0</v>
      </c>
      <c r="BB87">
        <f>RTD("rtdtrading.rtdserver",, "RANI3_B_0", "QTT")</f>
        <v>744200</v>
      </c>
      <c r="BC87">
        <f>RTD("rtdtrading.rtdserver",, "RANI3_B_0", "VOL")</f>
        <v>6578781</v>
      </c>
      <c r="BD87">
        <f>RTD("rtdtrading.rtdserver",, "RANI3_B_0", "OCP")</f>
        <v>8.8000000000000007</v>
      </c>
      <c r="BE87">
        <f>RTD("rtdtrading.rtdserver",, "RANI3_B_0", "OVD")</f>
        <v>8.85</v>
      </c>
      <c r="BF87">
        <f>RTD("rtdtrading.rtdserver",, "RANI3_B_0", "VOC")</f>
        <v>800</v>
      </c>
      <c r="BG87">
        <f>RTD("rtdtrading.rtdserver",, "RANI3_B_0", "VOV")</f>
        <v>500</v>
      </c>
      <c r="BH87">
        <f>RTD("rtdtrading.rtdserver",, "RANI3_B_0", "AJU")</f>
        <v>0</v>
      </c>
      <c r="BI87">
        <f>RTD("rtdtrading.rtdserver",, "RANI3_B_0", "AJA")</f>
        <v>0</v>
      </c>
      <c r="BJ87">
        <f>RTD("rtdtrading.rtdserver",, "RANI3_B_0", "PRT")</f>
        <v>0</v>
      </c>
      <c r="BK87">
        <f>RTD("rtdtrading.rtdserver",, "RANI3_B_0", "QTE")</f>
        <v>0</v>
      </c>
      <c r="BL87">
        <f>RTD("rtdtrading.rtdserver",, "RANI3_B_0", "VPJ")</f>
        <v>6578781</v>
      </c>
      <c r="BM87">
        <f>RTD("rtdtrading.rtdserver",, "RANI3_B_0", "SEM")</f>
        <v>1.4891179839633537</v>
      </c>
      <c r="BN87">
        <f>RTD("rtdtrading.rtdserver",, "RANI3_B_0", "MES")</f>
        <v>6.2350119904076902</v>
      </c>
      <c r="BO87">
        <f>RTD("rtdtrading.rtdserver",, "RANI3_B_0", "3M")</f>
        <v>24.29679718298004</v>
      </c>
      <c r="BP87">
        <f>RTD("rtdtrading.rtdserver",, "RANI3_B_0", "6M")</f>
        <v>31.543783591175</v>
      </c>
      <c r="BQ87">
        <f>RTD("rtdtrading.rtdserver",, "RANI3_B_0", "12M")</f>
        <v>30.794213167995295</v>
      </c>
      <c r="BR87">
        <f>RTD("rtdtrading.rtdserver",, "RANI3_B_0", "ANO")</f>
        <v>42.452890861148632</v>
      </c>
      <c r="BS87">
        <f>RTD("rtdtrading.rtdserver",, "RANI3_B_0", "TRIM")</f>
        <v>6.2350119904076902</v>
      </c>
      <c r="BT87">
        <f>RTD("rtdtrading.rtdserver",, "RANI3_B_0", "SEMES")</f>
        <v>23.611808694681635</v>
      </c>
      <c r="BU87" t="str">
        <f>RTD("rtdtrading.rtdserver",, "RANI3_B_0", "VEN")</f>
        <v>-</v>
      </c>
      <c r="BV87" t="str">
        <f>RTD("rtdtrading.rtdserver",, "RANI3_B_0", "VAL")</f>
        <v>31/12/9999</v>
      </c>
      <c r="BW87">
        <f>RTD("rtdtrading.rtdserver",, "RANI3_B_0", "CAB")</f>
        <v>0</v>
      </c>
      <c r="BX87" t="str">
        <f>RTD("rtdtrading.rtdserver",, "RANI3_B_0", "EST")</f>
        <v>Pré-Fechamento</v>
      </c>
      <c r="BY87" t="str">
        <f>RTD("rtdtrading.rtdserver",, "RANI3_B_0", "BLACK")</f>
        <v>-</v>
      </c>
      <c r="BZ87" t="str">
        <f>RTD("rtdtrading.rtdserver",, "RANI3_B_0", "IMPVT")</f>
        <v>-</v>
      </c>
      <c r="CA87" t="str">
        <f>RTD("rtdtrading.rtdserver",, "RANI3_B_0", "DELTA")</f>
        <v>-</v>
      </c>
      <c r="CB87" t="str">
        <f>RTD("rtdtrading.rtdserver",, "RANI3_B_0", "GAMA")</f>
        <v>-</v>
      </c>
      <c r="CC87" t="str">
        <f>RTD("rtdtrading.rtdserver",, "RANI3_B_0", "THETA")</f>
        <v>-</v>
      </c>
      <c r="CD87" t="str">
        <f>RTD("rtdtrading.rtdserver",, "RANI3_B_0", "RHO")</f>
        <v>-</v>
      </c>
      <c r="CE87" t="str">
        <f>RTD("rtdtrading.rtdserver",, "RANI3_B_0", "VEGA")</f>
        <v>-</v>
      </c>
      <c r="CF87" t="str">
        <f>RTD("rtdtrading.rtdserver",, "RANI3_B_0", "VIA")</f>
        <v>-</v>
      </c>
      <c r="CG87" t="str">
        <f>RTD("rtdtrading.rtdserver",, "RANI3_B_0", "VIB")</f>
        <v>-</v>
      </c>
      <c r="CH87" t="str">
        <f>RTD("rtdtrading.rtdserver",, "RANI3_B_0", "DOBRAR")</f>
        <v>-</v>
      </c>
      <c r="CI87" t="str">
        <f>RTD("rtdtrading.rtdserver",, "RANI3_B_0", "VIVH")</f>
        <v>-</v>
      </c>
      <c r="CJ87" t="str">
        <f>RTD("rtdtrading.rtdserver",, "RANI3_B_0", "VINT")</f>
        <v>-</v>
      </c>
      <c r="CK87" t="str">
        <f>RTD("rtdtrading.rtdserver",, "RANI3_B_0", "VEXT")</f>
        <v>-</v>
      </c>
    </row>
    <row r="88" spans="1:89" x14ac:dyDescent="0.25">
      <c r="B88" t="s">
        <v>412</v>
      </c>
      <c r="E88" s="76">
        <v>90587133892</v>
      </c>
      <c r="F88">
        <v>100</v>
      </c>
      <c r="J88" s="3"/>
      <c r="K88" s="3"/>
      <c r="L88" s="3"/>
      <c r="M88" s="3"/>
      <c r="O88" s="33"/>
      <c r="P88" s="10"/>
      <c r="R88" s="17"/>
      <c r="T88" s="10"/>
      <c r="U88" s="10"/>
      <c r="W88" s="10"/>
      <c r="X88" s="10"/>
      <c r="Y88" s="33"/>
      <c r="Z88" s="80"/>
      <c r="AM88" t="s">
        <v>467</v>
      </c>
      <c r="AN88" t="str">
        <f>RTD("rtdtrading.rtdserver",, "RANI3_B_0", "DAT")</f>
        <v>14/10/2025</v>
      </c>
      <c r="AO88" t="str">
        <f>RTD("rtdtrading.rtdserver",, "RANI3_B_0", "HOR")</f>
        <v>17:56:44</v>
      </c>
      <c r="AP88">
        <f>RTD("rtdtrading.rtdserver",, "RANI3_B_0", "ULT")</f>
        <v>8.8600000000000012</v>
      </c>
      <c r="AQ88">
        <f>RTD("rtdtrading.rtdserver",, "RANI3_B_0", "ABE")</f>
        <v>8.67</v>
      </c>
      <c r="AR88">
        <f>RTD("rtdtrading.rtdserver",, "RANI3_B_0", "MAX")</f>
        <v>8.93</v>
      </c>
      <c r="AS88">
        <f>RTD("rtdtrading.rtdserver",, "RANI3_B_0", "MIN")</f>
        <v>8.66</v>
      </c>
      <c r="AT88">
        <f>RTD("rtdtrading.rtdserver",, "RANI3_B_0", "FEC")</f>
        <v>8.7100000000000009</v>
      </c>
      <c r="AU88">
        <f>RTD("rtdtrading.rtdserver",, "RANI3_B_0", "PEX")</f>
        <v>0</v>
      </c>
      <c r="AV88">
        <f>RTD("rtdtrading.rtdserver",, "RANI3_B_0", "VAR")</f>
        <v>1.7221584385763531</v>
      </c>
      <c r="AW88">
        <f>RTD("rtdtrading.rtdserver",, "RANI3_B_0", "VARPTS")</f>
        <v>0.15000000000000036</v>
      </c>
      <c r="AX88">
        <f>RTD("rtdtrading.rtdserver",, "RANI3_B_0", "MED")</f>
        <v>8.8400712174146729</v>
      </c>
      <c r="AY88" t="s">
        <v>403</v>
      </c>
      <c r="AZ88">
        <f>RTD("rtdtrading.rtdserver",, "RANI3_B_0", "NEG")</f>
        <v>1952</v>
      </c>
      <c r="BA88">
        <f>RTD("rtdtrading.rtdserver",, "RANI3_B_0", "QUL")</f>
        <v>0</v>
      </c>
      <c r="BB88">
        <f>RTD("rtdtrading.rtdserver",, "RANI3_B_0", "QTT")</f>
        <v>744200</v>
      </c>
      <c r="BC88">
        <f>RTD("rtdtrading.rtdserver",, "RANI3_B_0", "VOL")</f>
        <v>6578781</v>
      </c>
      <c r="BD88">
        <f>RTD("rtdtrading.rtdserver",, "RANI3_B_0", "OCP")</f>
        <v>8.8000000000000007</v>
      </c>
      <c r="BE88">
        <f>RTD("rtdtrading.rtdserver",, "RANI3_B_0", "OVD")</f>
        <v>8.85</v>
      </c>
      <c r="BF88">
        <f>RTD("rtdtrading.rtdserver",, "RANI3_B_0", "VOC")</f>
        <v>800</v>
      </c>
      <c r="BG88">
        <f>RTD("rtdtrading.rtdserver",, "RANI3_B_0", "VOV")</f>
        <v>500</v>
      </c>
      <c r="BH88">
        <f>RTD("rtdtrading.rtdserver",, "RANI3_B_0", "AJU")</f>
        <v>0</v>
      </c>
      <c r="BI88">
        <f>RTD("rtdtrading.rtdserver",, "RANI3_B_0", "AJA")</f>
        <v>0</v>
      </c>
      <c r="BJ88">
        <f>RTD("rtdtrading.rtdserver",, "RANI3_B_0", "PRT")</f>
        <v>0</v>
      </c>
      <c r="BK88">
        <f>RTD("rtdtrading.rtdserver",, "RANI3_B_0", "QTE")</f>
        <v>0</v>
      </c>
      <c r="BL88">
        <f>RTD("rtdtrading.rtdserver",, "RANI3_B_0", "VPJ")</f>
        <v>6578781</v>
      </c>
      <c r="BM88">
        <f>RTD("rtdtrading.rtdserver",, "RANI3_B_0", "SEM")</f>
        <v>1.4891179839633537</v>
      </c>
      <c r="BN88">
        <f>RTD("rtdtrading.rtdserver",, "RANI3_B_0", "MES")</f>
        <v>6.2350119904076902</v>
      </c>
      <c r="BO88">
        <f>RTD("rtdtrading.rtdserver",, "RANI3_B_0", "3M")</f>
        <v>24.29679718298004</v>
      </c>
      <c r="BP88">
        <f>RTD("rtdtrading.rtdserver",, "RANI3_B_0", "6M")</f>
        <v>31.543783591175</v>
      </c>
      <c r="BQ88">
        <f>RTD("rtdtrading.rtdserver",, "RANI3_B_0", "12M")</f>
        <v>30.794213167995295</v>
      </c>
      <c r="BR88">
        <f>RTD("rtdtrading.rtdserver",, "RANI3_B_0", "ANO")</f>
        <v>42.452890861148632</v>
      </c>
      <c r="BS88">
        <f>RTD("rtdtrading.rtdserver",, "RANI3_B_0", "TRIM")</f>
        <v>6.2350119904076902</v>
      </c>
      <c r="BT88">
        <f>RTD("rtdtrading.rtdserver",, "RANI3_B_0", "SEMES")</f>
        <v>23.611808694681635</v>
      </c>
      <c r="BU88" t="str">
        <f>RTD("rtdtrading.rtdserver",, "RANI3_B_0", "VEN")</f>
        <v>-</v>
      </c>
      <c r="BV88" t="str">
        <f>RTD("rtdtrading.rtdserver",, "RANI3_B_0", "VAL")</f>
        <v>31/12/9999</v>
      </c>
      <c r="BW88">
        <f>RTD("rtdtrading.rtdserver",, "RANI3_B_0", "CAB")</f>
        <v>0</v>
      </c>
      <c r="BX88" t="str">
        <f>RTD("rtdtrading.rtdserver",, "RANI3_B_0", "EST")</f>
        <v>Pré-Fechamento</v>
      </c>
      <c r="BY88" t="str">
        <f>RTD("rtdtrading.rtdserver",, "RANI3_B_0", "BLACK")</f>
        <v>-</v>
      </c>
      <c r="BZ88" t="str">
        <f>RTD("rtdtrading.rtdserver",, "RANI3_B_0", "IMPVT")</f>
        <v>-</v>
      </c>
      <c r="CA88" t="str">
        <f>RTD("rtdtrading.rtdserver",, "RANI3_B_0", "DELTA")</f>
        <v>-</v>
      </c>
      <c r="CB88" t="str">
        <f>RTD("rtdtrading.rtdserver",, "RANI3_B_0", "GAMA")</f>
        <v>-</v>
      </c>
      <c r="CC88" t="str">
        <f>RTD("rtdtrading.rtdserver",, "RANI3_B_0", "THETA")</f>
        <v>-</v>
      </c>
      <c r="CD88" t="str">
        <f>RTD("rtdtrading.rtdserver",, "RANI3_B_0", "RHO")</f>
        <v>-</v>
      </c>
      <c r="CE88" t="str">
        <f>RTD("rtdtrading.rtdserver",, "RANI3_B_0", "VEGA")</f>
        <v>-</v>
      </c>
      <c r="CF88" t="str">
        <f>RTD("rtdtrading.rtdserver",, "RANI3_B_0", "VIA")</f>
        <v>-</v>
      </c>
      <c r="CG88" t="str">
        <f>RTD("rtdtrading.rtdserver",, "RANI3_B_0", "VIB")</f>
        <v>-</v>
      </c>
      <c r="CH88" t="str">
        <f>RTD("rtdtrading.rtdserver",, "RANI3_B_0", "DOBRAR")</f>
        <v>-</v>
      </c>
      <c r="CI88" t="str">
        <f>RTD("rtdtrading.rtdserver",, "RANI3_B_0", "VIVH")</f>
        <v>-</v>
      </c>
      <c r="CJ88" t="str">
        <f>RTD("rtdtrading.rtdserver",, "RANI3_B_0", "VINT")</f>
        <v>-</v>
      </c>
      <c r="CK88" t="str">
        <f>RTD("rtdtrading.rtdserver",, "RANI3_B_0", "VEXT")</f>
        <v>-</v>
      </c>
    </row>
    <row r="89" spans="1:89" x14ac:dyDescent="0.25">
      <c r="B89" t="s">
        <v>413</v>
      </c>
      <c r="E89" s="76">
        <v>15018652.0445788</v>
      </c>
      <c r="J89" s="3"/>
      <c r="K89" s="3"/>
      <c r="L89" s="3"/>
      <c r="M89" s="3"/>
      <c r="O89" s="33"/>
      <c r="P89" s="10"/>
      <c r="R89" s="17"/>
      <c r="T89" s="10"/>
      <c r="U89" s="10"/>
      <c r="W89" s="10"/>
      <c r="X89" s="10"/>
      <c r="Y89" s="33"/>
      <c r="Z89" s="80"/>
      <c r="AM89" t="s">
        <v>468</v>
      </c>
      <c r="AN89" t="str">
        <f>RTD("rtdtrading.rtdserver",, "RANI3_B_0", "DAT")</f>
        <v>14/10/2025</v>
      </c>
      <c r="AO89" t="str">
        <f>RTD("rtdtrading.rtdserver",, "RANI3_B_0", "HOR")</f>
        <v>17:56:44</v>
      </c>
      <c r="AP89">
        <f>RTD("rtdtrading.rtdserver",, "RANI3_B_0", "ULT")</f>
        <v>8.8600000000000012</v>
      </c>
      <c r="AQ89">
        <f>RTD("rtdtrading.rtdserver",, "RANI3_B_0", "ABE")</f>
        <v>8.67</v>
      </c>
      <c r="AR89">
        <f>RTD("rtdtrading.rtdserver",, "RANI3_B_0", "MAX")</f>
        <v>8.93</v>
      </c>
      <c r="AS89">
        <f>RTD("rtdtrading.rtdserver",, "RANI3_B_0", "MIN")</f>
        <v>8.66</v>
      </c>
      <c r="AT89">
        <f>RTD("rtdtrading.rtdserver",, "RANI3_B_0", "FEC")</f>
        <v>8.7100000000000009</v>
      </c>
      <c r="AU89">
        <f>RTD("rtdtrading.rtdserver",, "RANI3_B_0", "PEX")</f>
        <v>0</v>
      </c>
      <c r="AV89">
        <f>RTD("rtdtrading.rtdserver",, "RANI3_B_0", "VAR")</f>
        <v>1.7221584385763531</v>
      </c>
      <c r="AW89">
        <f>RTD("rtdtrading.rtdserver",, "RANI3_B_0", "VARPTS")</f>
        <v>0.15000000000000036</v>
      </c>
      <c r="AX89">
        <f>RTD("rtdtrading.rtdserver",, "RANI3_B_0", "MED")</f>
        <v>8.8400712174146729</v>
      </c>
      <c r="AY89" t="s">
        <v>403</v>
      </c>
      <c r="AZ89">
        <f>RTD("rtdtrading.rtdserver",, "RANI3_B_0", "NEG")</f>
        <v>1952</v>
      </c>
      <c r="BA89">
        <f>RTD("rtdtrading.rtdserver",, "RANI3_B_0", "QUL")</f>
        <v>0</v>
      </c>
      <c r="BB89">
        <f>RTD("rtdtrading.rtdserver",, "RANI3_B_0", "QTT")</f>
        <v>744200</v>
      </c>
      <c r="BC89">
        <f>RTD("rtdtrading.rtdserver",, "RANI3_B_0", "VOL")</f>
        <v>6578781</v>
      </c>
      <c r="BD89">
        <f>RTD("rtdtrading.rtdserver",, "RANI3_B_0", "OCP")</f>
        <v>8.8000000000000007</v>
      </c>
      <c r="BE89">
        <f>RTD("rtdtrading.rtdserver",, "RANI3_B_0", "OVD")</f>
        <v>8.85</v>
      </c>
      <c r="BF89">
        <f>RTD("rtdtrading.rtdserver",, "RANI3_B_0", "VOC")</f>
        <v>800</v>
      </c>
      <c r="BG89">
        <f>RTD("rtdtrading.rtdserver",, "RANI3_B_0", "VOV")</f>
        <v>500</v>
      </c>
      <c r="BH89">
        <f>RTD("rtdtrading.rtdserver",, "RANI3_B_0", "AJU")</f>
        <v>0</v>
      </c>
      <c r="BI89">
        <f>RTD("rtdtrading.rtdserver",, "RANI3_B_0", "AJA")</f>
        <v>0</v>
      </c>
      <c r="BJ89">
        <f>RTD("rtdtrading.rtdserver",, "RANI3_B_0", "PRT")</f>
        <v>0</v>
      </c>
      <c r="BK89">
        <f>RTD("rtdtrading.rtdserver",, "RANI3_B_0", "QTE")</f>
        <v>0</v>
      </c>
      <c r="BL89">
        <f>RTD("rtdtrading.rtdserver",, "RANI3_B_0", "VPJ")</f>
        <v>6578781</v>
      </c>
      <c r="BM89">
        <f>RTD("rtdtrading.rtdserver",, "RANI3_B_0", "SEM")</f>
        <v>1.4891179839633537</v>
      </c>
      <c r="BN89">
        <f>RTD("rtdtrading.rtdserver",, "RANI3_B_0", "MES")</f>
        <v>6.2350119904076902</v>
      </c>
      <c r="BO89">
        <f>RTD("rtdtrading.rtdserver",, "RANI3_B_0", "3M")</f>
        <v>24.29679718298004</v>
      </c>
      <c r="BP89">
        <f>RTD("rtdtrading.rtdserver",, "RANI3_B_0", "6M")</f>
        <v>31.543783591175</v>
      </c>
      <c r="BQ89">
        <f>RTD("rtdtrading.rtdserver",, "RANI3_B_0", "12M")</f>
        <v>30.794213167995295</v>
      </c>
      <c r="BR89">
        <f>RTD("rtdtrading.rtdserver",, "RANI3_B_0", "ANO")</f>
        <v>42.452890861148632</v>
      </c>
      <c r="BS89">
        <f>RTD("rtdtrading.rtdserver",, "RANI3_B_0", "TRIM")</f>
        <v>6.2350119904076902</v>
      </c>
      <c r="BT89">
        <f>RTD("rtdtrading.rtdserver",, "RANI3_B_0", "SEMES")</f>
        <v>23.611808694681635</v>
      </c>
      <c r="BU89" t="str">
        <f>RTD("rtdtrading.rtdserver",, "RANI3_B_0", "VEN")</f>
        <v>-</v>
      </c>
      <c r="BV89" t="str">
        <f>RTD("rtdtrading.rtdserver",, "RANI3_B_0", "VAL")</f>
        <v>31/12/9999</v>
      </c>
      <c r="BW89">
        <f>RTD("rtdtrading.rtdserver",, "RANI3_B_0", "CAB")</f>
        <v>0</v>
      </c>
      <c r="BX89" t="str">
        <f>RTD("rtdtrading.rtdserver",, "RANI3_B_0", "EST")</f>
        <v>Pré-Fechamento</v>
      </c>
      <c r="BY89" t="str">
        <f>RTD("rtdtrading.rtdserver",, "RANI3_B_0", "BLACK")</f>
        <v>-</v>
      </c>
      <c r="BZ89" t="str">
        <f>RTD("rtdtrading.rtdserver",, "RANI3_B_0", "IMPVT")</f>
        <v>-</v>
      </c>
      <c r="CA89" t="str">
        <f>RTD("rtdtrading.rtdserver",, "RANI3_B_0", "DELTA")</f>
        <v>-</v>
      </c>
      <c r="CB89" t="str">
        <f>RTD("rtdtrading.rtdserver",, "RANI3_B_0", "GAMA")</f>
        <v>-</v>
      </c>
      <c r="CC89" t="str">
        <f>RTD("rtdtrading.rtdserver",, "RANI3_B_0", "THETA")</f>
        <v>-</v>
      </c>
      <c r="CD89" t="str">
        <f>RTD("rtdtrading.rtdserver",, "RANI3_B_0", "RHO")</f>
        <v>-</v>
      </c>
      <c r="CE89" t="str">
        <f>RTD("rtdtrading.rtdserver",, "RANI3_B_0", "VEGA")</f>
        <v>-</v>
      </c>
      <c r="CF89" t="str">
        <f>RTD("rtdtrading.rtdserver",, "RANI3_B_0", "VIA")</f>
        <v>-</v>
      </c>
      <c r="CG89" t="str">
        <f>RTD("rtdtrading.rtdserver",, "RANI3_B_0", "VIB")</f>
        <v>-</v>
      </c>
      <c r="CH89" t="str">
        <f>RTD("rtdtrading.rtdserver",, "RANI3_B_0", "DOBRAR")</f>
        <v>-</v>
      </c>
      <c r="CI89" t="str">
        <f>RTD("rtdtrading.rtdserver",, "RANI3_B_0", "VIVH")</f>
        <v>-</v>
      </c>
      <c r="CJ89" t="str">
        <f>RTD("rtdtrading.rtdserver",, "RANI3_B_0", "VINT")</f>
        <v>-</v>
      </c>
      <c r="CK89" t="str">
        <f>RTD("rtdtrading.rtdserver",, "RANI3_B_0", "VEXT")</f>
        <v>-</v>
      </c>
    </row>
    <row r="90" spans="1:89" x14ac:dyDescent="0.25">
      <c r="E90" s="76"/>
      <c r="J90" s="3"/>
      <c r="K90" s="3"/>
      <c r="L90" s="3"/>
      <c r="M90" s="3"/>
      <c r="O90" s="33"/>
      <c r="P90" s="10"/>
      <c r="R90" s="17"/>
      <c r="T90" s="10"/>
      <c r="U90" s="10"/>
      <c r="W90" s="10"/>
      <c r="X90" s="10"/>
      <c r="AM90" t="s">
        <v>469</v>
      </c>
      <c r="AN90" t="str">
        <f>RTD("rtdtrading.rtdserver",, "RANI3_B_0", "DAT")</f>
        <v>14/10/2025</v>
      </c>
      <c r="AO90" t="str">
        <f>RTD("rtdtrading.rtdserver",, "RANI3_B_0", "HOR")</f>
        <v>17:56:44</v>
      </c>
      <c r="AP90">
        <f>RTD("rtdtrading.rtdserver",, "RANI3_B_0", "ULT")</f>
        <v>8.8600000000000012</v>
      </c>
      <c r="AQ90">
        <f>RTD("rtdtrading.rtdserver",, "RANI3_B_0", "ABE")</f>
        <v>8.67</v>
      </c>
      <c r="AR90">
        <f>RTD("rtdtrading.rtdserver",, "RANI3_B_0", "MAX")</f>
        <v>8.93</v>
      </c>
      <c r="AS90">
        <f>RTD("rtdtrading.rtdserver",, "RANI3_B_0", "MIN")</f>
        <v>8.66</v>
      </c>
      <c r="AT90">
        <f>RTD("rtdtrading.rtdserver",, "RANI3_B_0", "FEC")</f>
        <v>8.7100000000000009</v>
      </c>
      <c r="AU90">
        <f>RTD("rtdtrading.rtdserver",, "RANI3_B_0", "PEX")</f>
        <v>0</v>
      </c>
      <c r="AV90">
        <f>RTD("rtdtrading.rtdserver",, "RANI3_B_0", "VAR")</f>
        <v>1.7221584385763531</v>
      </c>
      <c r="AW90">
        <f>RTD("rtdtrading.rtdserver",, "RANI3_B_0", "VARPTS")</f>
        <v>0.15000000000000036</v>
      </c>
      <c r="AX90">
        <f>RTD("rtdtrading.rtdserver",, "RANI3_B_0", "MED")</f>
        <v>8.8400712174146729</v>
      </c>
      <c r="AY90" t="s">
        <v>403</v>
      </c>
      <c r="AZ90">
        <f>RTD("rtdtrading.rtdserver",, "RANI3_B_0", "NEG")</f>
        <v>1952</v>
      </c>
      <c r="BA90">
        <f>RTD("rtdtrading.rtdserver",, "RANI3_B_0", "QUL")</f>
        <v>0</v>
      </c>
      <c r="BB90">
        <f>RTD("rtdtrading.rtdserver",, "RANI3_B_0", "QTT")</f>
        <v>744200</v>
      </c>
      <c r="BC90">
        <f>RTD("rtdtrading.rtdserver",, "RANI3_B_0", "VOL")</f>
        <v>6578781</v>
      </c>
      <c r="BD90">
        <f>RTD("rtdtrading.rtdserver",, "RANI3_B_0", "OCP")</f>
        <v>8.8000000000000007</v>
      </c>
      <c r="BE90">
        <f>RTD("rtdtrading.rtdserver",, "RANI3_B_0", "OVD")</f>
        <v>8.85</v>
      </c>
      <c r="BF90">
        <f>RTD("rtdtrading.rtdserver",, "RANI3_B_0", "VOC")</f>
        <v>800</v>
      </c>
      <c r="BG90">
        <f>RTD("rtdtrading.rtdserver",, "RANI3_B_0", "VOV")</f>
        <v>500</v>
      </c>
      <c r="BH90">
        <f>RTD("rtdtrading.rtdserver",, "RANI3_B_0", "AJU")</f>
        <v>0</v>
      </c>
      <c r="BI90">
        <f>RTD("rtdtrading.rtdserver",, "RANI3_B_0", "AJA")</f>
        <v>0</v>
      </c>
      <c r="BJ90">
        <f>RTD("rtdtrading.rtdserver",, "RANI3_B_0", "PRT")</f>
        <v>0</v>
      </c>
      <c r="BK90">
        <f>RTD("rtdtrading.rtdserver",, "RANI3_B_0", "QTE")</f>
        <v>0</v>
      </c>
      <c r="BL90">
        <f>RTD("rtdtrading.rtdserver",, "RANI3_B_0", "VPJ")</f>
        <v>6578781</v>
      </c>
      <c r="BM90">
        <f>RTD("rtdtrading.rtdserver",, "RANI3_B_0", "SEM")</f>
        <v>1.4891179839633537</v>
      </c>
      <c r="BN90">
        <f>RTD("rtdtrading.rtdserver",, "RANI3_B_0", "MES")</f>
        <v>6.2350119904076902</v>
      </c>
      <c r="BO90">
        <f>RTD("rtdtrading.rtdserver",, "RANI3_B_0", "3M")</f>
        <v>24.29679718298004</v>
      </c>
      <c r="BP90">
        <f>RTD("rtdtrading.rtdserver",, "RANI3_B_0", "6M")</f>
        <v>31.543783591175</v>
      </c>
      <c r="BQ90">
        <f>RTD("rtdtrading.rtdserver",, "RANI3_B_0", "12M")</f>
        <v>30.794213167995295</v>
      </c>
      <c r="BR90">
        <f>RTD("rtdtrading.rtdserver",, "RANI3_B_0", "ANO")</f>
        <v>42.452890861148632</v>
      </c>
      <c r="BS90">
        <f>RTD("rtdtrading.rtdserver",, "RANI3_B_0", "TRIM")</f>
        <v>6.2350119904076902</v>
      </c>
      <c r="BT90">
        <f>RTD("rtdtrading.rtdserver",, "RANI3_B_0", "SEMES")</f>
        <v>23.611808694681635</v>
      </c>
      <c r="BU90" t="str">
        <f>RTD("rtdtrading.rtdserver",, "RANI3_B_0", "VEN")</f>
        <v>-</v>
      </c>
      <c r="BV90" t="str">
        <f>RTD("rtdtrading.rtdserver",, "RANI3_B_0", "VAL")</f>
        <v>31/12/9999</v>
      </c>
      <c r="BW90">
        <f>RTD("rtdtrading.rtdserver",, "RANI3_B_0", "CAB")</f>
        <v>0</v>
      </c>
      <c r="BX90" t="str">
        <f>RTD("rtdtrading.rtdserver",, "RANI3_B_0", "EST")</f>
        <v>Pré-Fechamento</v>
      </c>
      <c r="BY90" t="str">
        <f>RTD("rtdtrading.rtdserver",, "RANI3_B_0", "BLACK")</f>
        <v>-</v>
      </c>
      <c r="BZ90" t="str">
        <f>RTD("rtdtrading.rtdserver",, "RANI3_B_0", "IMPVT")</f>
        <v>-</v>
      </c>
      <c r="CA90" t="str">
        <f>RTD("rtdtrading.rtdserver",, "RANI3_B_0", "DELTA")</f>
        <v>-</v>
      </c>
      <c r="CB90" t="str">
        <f>RTD("rtdtrading.rtdserver",, "RANI3_B_0", "GAMA")</f>
        <v>-</v>
      </c>
      <c r="CC90" t="str">
        <f>RTD("rtdtrading.rtdserver",, "RANI3_B_0", "THETA")</f>
        <v>-</v>
      </c>
      <c r="CD90" t="str">
        <f>RTD("rtdtrading.rtdserver",, "RANI3_B_0", "RHO")</f>
        <v>-</v>
      </c>
      <c r="CE90" t="str">
        <f>RTD("rtdtrading.rtdserver",, "RANI3_B_0", "VEGA")</f>
        <v>-</v>
      </c>
      <c r="CF90" t="str">
        <f>RTD("rtdtrading.rtdserver",, "RANI3_B_0", "VIA")</f>
        <v>-</v>
      </c>
      <c r="CG90" t="str">
        <f>RTD("rtdtrading.rtdserver",, "RANI3_B_0", "VIB")</f>
        <v>-</v>
      </c>
      <c r="CH90" t="str">
        <f>RTD("rtdtrading.rtdserver",, "RANI3_B_0", "DOBRAR")</f>
        <v>-</v>
      </c>
      <c r="CI90" t="str">
        <f>RTD("rtdtrading.rtdserver",, "RANI3_B_0", "VIVH")</f>
        <v>-</v>
      </c>
      <c r="CJ90" t="str">
        <f>RTD("rtdtrading.rtdserver",, "RANI3_B_0", "VINT")</f>
        <v>-</v>
      </c>
      <c r="CK90" t="str">
        <f>RTD("rtdtrading.rtdserver",, "RANI3_B_0", "VEXT")</f>
        <v>-</v>
      </c>
    </row>
    <row r="91" spans="1:89" x14ac:dyDescent="0.25">
      <c r="A91" s="25"/>
      <c r="E91" s="76"/>
      <c r="J91" s="3"/>
      <c r="K91" s="3"/>
      <c r="L91" s="3"/>
      <c r="M91" s="3"/>
      <c r="O91" s="33"/>
      <c r="P91" s="10"/>
      <c r="R91" s="17"/>
      <c r="T91" s="10"/>
      <c r="U91" s="10"/>
      <c r="W91" s="10"/>
      <c r="X91" s="10"/>
      <c r="AM91" t="s">
        <v>470</v>
      </c>
      <c r="AN91" t="str">
        <f>RTD("rtdtrading.rtdserver",, "RANI3_B_0", "DAT")</f>
        <v>14/10/2025</v>
      </c>
      <c r="AO91" t="str">
        <f>RTD("rtdtrading.rtdserver",, "RANI3_B_0", "HOR")</f>
        <v>17:56:44</v>
      </c>
      <c r="AP91">
        <f>RTD("rtdtrading.rtdserver",, "RANI3_B_0", "ULT")</f>
        <v>8.8600000000000012</v>
      </c>
      <c r="AQ91">
        <f>RTD("rtdtrading.rtdserver",, "RANI3_B_0", "ABE")</f>
        <v>8.67</v>
      </c>
      <c r="AR91">
        <f>RTD("rtdtrading.rtdserver",, "RANI3_B_0", "MAX")</f>
        <v>8.93</v>
      </c>
      <c r="AS91">
        <f>RTD("rtdtrading.rtdserver",, "RANI3_B_0", "MIN")</f>
        <v>8.66</v>
      </c>
      <c r="AT91">
        <f>RTD("rtdtrading.rtdserver",, "RANI3_B_0", "FEC")</f>
        <v>8.7100000000000009</v>
      </c>
      <c r="AU91">
        <f>RTD("rtdtrading.rtdserver",, "RANI3_B_0", "PEX")</f>
        <v>0</v>
      </c>
      <c r="AV91">
        <f>RTD("rtdtrading.rtdserver",, "RANI3_B_0", "VAR")</f>
        <v>1.7221584385763531</v>
      </c>
      <c r="AW91">
        <f>RTD("rtdtrading.rtdserver",, "RANI3_B_0", "VARPTS")</f>
        <v>0.15000000000000036</v>
      </c>
      <c r="AX91">
        <f>RTD("rtdtrading.rtdserver",, "RANI3_B_0", "MED")</f>
        <v>8.8400712174146729</v>
      </c>
      <c r="AY91" t="s">
        <v>403</v>
      </c>
      <c r="AZ91">
        <f>RTD("rtdtrading.rtdserver",, "RANI3_B_0", "NEG")</f>
        <v>1952</v>
      </c>
      <c r="BA91">
        <f>RTD("rtdtrading.rtdserver",, "RANI3_B_0", "QUL")</f>
        <v>0</v>
      </c>
      <c r="BB91">
        <f>RTD("rtdtrading.rtdserver",, "RANI3_B_0", "QTT")</f>
        <v>744200</v>
      </c>
      <c r="BC91">
        <f>RTD("rtdtrading.rtdserver",, "RANI3_B_0", "VOL")</f>
        <v>6578781</v>
      </c>
      <c r="BD91">
        <f>RTD("rtdtrading.rtdserver",, "RANI3_B_0", "OCP")</f>
        <v>8.8000000000000007</v>
      </c>
      <c r="BE91">
        <f>RTD("rtdtrading.rtdserver",, "RANI3_B_0", "OVD")</f>
        <v>8.85</v>
      </c>
      <c r="BF91">
        <f>RTD("rtdtrading.rtdserver",, "RANI3_B_0", "VOC")</f>
        <v>800</v>
      </c>
      <c r="BG91">
        <f>RTD("rtdtrading.rtdserver",, "RANI3_B_0", "VOV")</f>
        <v>500</v>
      </c>
      <c r="BH91">
        <f>RTD("rtdtrading.rtdserver",, "RANI3_B_0", "AJU")</f>
        <v>0</v>
      </c>
      <c r="BI91">
        <f>RTD("rtdtrading.rtdserver",, "RANI3_B_0", "AJA")</f>
        <v>0</v>
      </c>
      <c r="BJ91">
        <f>RTD("rtdtrading.rtdserver",, "RANI3_B_0", "PRT")</f>
        <v>0</v>
      </c>
      <c r="BK91">
        <f>RTD("rtdtrading.rtdserver",, "RANI3_B_0", "QTE")</f>
        <v>0</v>
      </c>
      <c r="BL91">
        <f>RTD("rtdtrading.rtdserver",, "RANI3_B_0", "VPJ")</f>
        <v>6578781</v>
      </c>
      <c r="BM91">
        <f>RTD("rtdtrading.rtdserver",, "RANI3_B_0", "SEM")</f>
        <v>1.4891179839633537</v>
      </c>
      <c r="BN91">
        <f>RTD("rtdtrading.rtdserver",, "RANI3_B_0", "MES")</f>
        <v>6.2350119904076902</v>
      </c>
      <c r="BO91">
        <f>RTD("rtdtrading.rtdserver",, "RANI3_B_0", "3M")</f>
        <v>24.29679718298004</v>
      </c>
      <c r="BP91">
        <f>RTD("rtdtrading.rtdserver",, "RANI3_B_0", "6M")</f>
        <v>31.543783591175</v>
      </c>
      <c r="BQ91">
        <f>RTD("rtdtrading.rtdserver",, "RANI3_B_0", "12M")</f>
        <v>30.794213167995295</v>
      </c>
      <c r="BR91">
        <f>RTD("rtdtrading.rtdserver",, "RANI3_B_0", "ANO")</f>
        <v>42.452890861148632</v>
      </c>
      <c r="BS91">
        <f>RTD("rtdtrading.rtdserver",, "RANI3_B_0", "TRIM")</f>
        <v>6.2350119904076902</v>
      </c>
      <c r="BT91">
        <f>RTD("rtdtrading.rtdserver",, "RANI3_B_0", "SEMES")</f>
        <v>23.611808694681635</v>
      </c>
      <c r="BU91" t="str">
        <f>RTD("rtdtrading.rtdserver",, "RANI3_B_0", "VEN")</f>
        <v>-</v>
      </c>
      <c r="BV91" t="str">
        <f>RTD("rtdtrading.rtdserver",, "RANI3_B_0", "VAL")</f>
        <v>31/12/9999</v>
      </c>
      <c r="BW91">
        <f>RTD("rtdtrading.rtdserver",, "RANI3_B_0", "CAB")</f>
        <v>0</v>
      </c>
      <c r="BX91" t="str">
        <f>RTD("rtdtrading.rtdserver",, "RANI3_B_0", "EST")</f>
        <v>Pré-Fechamento</v>
      </c>
      <c r="BY91" t="str">
        <f>RTD("rtdtrading.rtdserver",, "RANI3_B_0", "BLACK")</f>
        <v>-</v>
      </c>
      <c r="BZ91" t="str">
        <f>RTD("rtdtrading.rtdserver",, "RANI3_B_0", "IMPVT")</f>
        <v>-</v>
      </c>
      <c r="CA91" t="str">
        <f>RTD("rtdtrading.rtdserver",, "RANI3_B_0", "DELTA")</f>
        <v>-</v>
      </c>
      <c r="CB91" t="str">
        <f>RTD("rtdtrading.rtdserver",, "RANI3_B_0", "GAMA")</f>
        <v>-</v>
      </c>
      <c r="CC91" t="str">
        <f>RTD("rtdtrading.rtdserver",, "RANI3_B_0", "THETA")</f>
        <v>-</v>
      </c>
      <c r="CD91" t="str">
        <f>RTD("rtdtrading.rtdserver",, "RANI3_B_0", "RHO")</f>
        <v>-</v>
      </c>
      <c r="CE91" t="str">
        <f>RTD("rtdtrading.rtdserver",, "RANI3_B_0", "VEGA")</f>
        <v>-</v>
      </c>
      <c r="CF91" t="str">
        <f>RTD("rtdtrading.rtdserver",, "RANI3_B_0", "VIA")</f>
        <v>-</v>
      </c>
      <c r="CG91" t="str">
        <f>RTD("rtdtrading.rtdserver",, "RANI3_B_0", "VIB")</f>
        <v>-</v>
      </c>
      <c r="CH91" t="str">
        <f>RTD("rtdtrading.rtdserver",, "RANI3_B_0", "DOBRAR")</f>
        <v>-</v>
      </c>
      <c r="CI91" t="str">
        <f>RTD("rtdtrading.rtdserver",, "RANI3_B_0", "VIVH")</f>
        <v>-</v>
      </c>
      <c r="CJ91" t="str">
        <f>RTD("rtdtrading.rtdserver",, "RANI3_B_0", "VINT")</f>
        <v>-</v>
      </c>
      <c r="CK91" t="str">
        <f>RTD("rtdtrading.rtdserver",, "RANI3_B_0", "VEXT")</f>
        <v>-</v>
      </c>
    </row>
    <row r="92" spans="1:89" x14ac:dyDescent="0.25">
      <c r="E92" s="76"/>
      <c r="J92" s="3"/>
      <c r="K92" s="3"/>
      <c r="L92" s="3"/>
      <c r="M92" s="3"/>
      <c r="O92" s="33"/>
      <c r="P92" s="10"/>
      <c r="R92" s="17"/>
      <c r="T92" s="10"/>
      <c r="U92" s="10"/>
      <c r="W92" s="10"/>
      <c r="X92" s="10"/>
      <c r="AM92" t="s">
        <v>471</v>
      </c>
      <c r="AN92" t="str">
        <f>RTD("rtdtrading.rtdserver",, "RANI3_B_0", "DAT")</f>
        <v>14/10/2025</v>
      </c>
      <c r="AO92" t="str">
        <f>RTD("rtdtrading.rtdserver",, "RANI3_B_0", "HOR")</f>
        <v>17:56:44</v>
      </c>
      <c r="AP92">
        <f>RTD("rtdtrading.rtdserver",, "RANI3_B_0", "ULT")</f>
        <v>8.8600000000000012</v>
      </c>
      <c r="AQ92">
        <f>RTD("rtdtrading.rtdserver",, "RANI3_B_0", "ABE")</f>
        <v>8.67</v>
      </c>
      <c r="AR92">
        <f>RTD("rtdtrading.rtdserver",, "RANI3_B_0", "MAX")</f>
        <v>8.93</v>
      </c>
      <c r="AS92">
        <f>RTD("rtdtrading.rtdserver",, "RANI3_B_0", "MIN")</f>
        <v>8.66</v>
      </c>
      <c r="AT92">
        <f>RTD("rtdtrading.rtdserver",, "RANI3_B_0", "FEC")</f>
        <v>8.7100000000000009</v>
      </c>
      <c r="AU92">
        <f>RTD("rtdtrading.rtdserver",, "RANI3_B_0", "PEX")</f>
        <v>0</v>
      </c>
      <c r="AV92">
        <f>RTD("rtdtrading.rtdserver",, "RANI3_B_0", "VAR")</f>
        <v>1.7221584385763531</v>
      </c>
      <c r="AW92">
        <f>RTD("rtdtrading.rtdserver",, "RANI3_B_0", "VARPTS")</f>
        <v>0.15000000000000036</v>
      </c>
      <c r="AX92">
        <f>RTD("rtdtrading.rtdserver",, "RANI3_B_0", "MED")</f>
        <v>8.8400712174146729</v>
      </c>
      <c r="AY92" t="s">
        <v>403</v>
      </c>
      <c r="AZ92">
        <f>RTD("rtdtrading.rtdserver",, "RANI3_B_0", "NEG")</f>
        <v>1952</v>
      </c>
      <c r="BA92">
        <f>RTD("rtdtrading.rtdserver",, "RANI3_B_0", "QUL")</f>
        <v>0</v>
      </c>
      <c r="BB92">
        <f>RTD("rtdtrading.rtdserver",, "RANI3_B_0", "QTT")</f>
        <v>744200</v>
      </c>
      <c r="BC92">
        <f>RTD("rtdtrading.rtdserver",, "RANI3_B_0", "VOL")</f>
        <v>6578781</v>
      </c>
      <c r="BD92">
        <f>RTD("rtdtrading.rtdserver",, "RANI3_B_0", "OCP")</f>
        <v>8.8000000000000007</v>
      </c>
      <c r="BE92">
        <f>RTD("rtdtrading.rtdserver",, "RANI3_B_0", "OVD")</f>
        <v>8.85</v>
      </c>
      <c r="BF92">
        <f>RTD("rtdtrading.rtdserver",, "RANI3_B_0", "VOC")</f>
        <v>800</v>
      </c>
      <c r="BG92">
        <f>RTD("rtdtrading.rtdserver",, "RANI3_B_0", "VOV")</f>
        <v>500</v>
      </c>
      <c r="BH92">
        <f>RTD("rtdtrading.rtdserver",, "RANI3_B_0", "AJU")</f>
        <v>0</v>
      </c>
      <c r="BI92">
        <f>RTD("rtdtrading.rtdserver",, "RANI3_B_0", "AJA")</f>
        <v>0</v>
      </c>
      <c r="BJ92">
        <f>RTD("rtdtrading.rtdserver",, "RANI3_B_0", "PRT")</f>
        <v>0</v>
      </c>
      <c r="BK92">
        <f>RTD("rtdtrading.rtdserver",, "RANI3_B_0", "QTE")</f>
        <v>0</v>
      </c>
      <c r="BL92">
        <f>RTD("rtdtrading.rtdserver",, "RANI3_B_0", "VPJ")</f>
        <v>6578781</v>
      </c>
      <c r="BM92">
        <f>RTD("rtdtrading.rtdserver",, "RANI3_B_0", "SEM")</f>
        <v>1.4891179839633537</v>
      </c>
      <c r="BN92">
        <f>RTD("rtdtrading.rtdserver",, "RANI3_B_0", "MES")</f>
        <v>6.2350119904076902</v>
      </c>
      <c r="BO92">
        <f>RTD("rtdtrading.rtdserver",, "RANI3_B_0", "3M")</f>
        <v>24.29679718298004</v>
      </c>
      <c r="BP92">
        <f>RTD("rtdtrading.rtdserver",, "RANI3_B_0", "6M")</f>
        <v>31.543783591175</v>
      </c>
      <c r="BQ92">
        <f>RTD("rtdtrading.rtdserver",, "RANI3_B_0", "12M")</f>
        <v>30.794213167995295</v>
      </c>
      <c r="BR92">
        <f>RTD("rtdtrading.rtdserver",, "RANI3_B_0", "ANO")</f>
        <v>42.452890861148632</v>
      </c>
      <c r="BS92">
        <f>RTD("rtdtrading.rtdserver",, "RANI3_B_0", "TRIM")</f>
        <v>6.2350119904076902</v>
      </c>
      <c r="BT92">
        <f>RTD("rtdtrading.rtdserver",, "RANI3_B_0", "SEMES")</f>
        <v>23.611808694681635</v>
      </c>
      <c r="BU92" t="str">
        <f>RTD("rtdtrading.rtdserver",, "RANI3_B_0", "VEN")</f>
        <v>-</v>
      </c>
      <c r="BV92" t="str">
        <f>RTD("rtdtrading.rtdserver",, "RANI3_B_0", "VAL")</f>
        <v>31/12/9999</v>
      </c>
      <c r="BW92">
        <f>RTD("rtdtrading.rtdserver",, "RANI3_B_0", "CAB")</f>
        <v>0</v>
      </c>
      <c r="BX92" t="str">
        <f>RTD("rtdtrading.rtdserver",, "RANI3_B_0", "EST")</f>
        <v>Pré-Fechamento</v>
      </c>
      <c r="BY92" t="str">
        <f>RTD("rtdtrading.rtdserver",, "RANI3_B_0", "BLACK")</f>
        <v>-</v>
      </c>
      <c r="BZ92" t="str">
        <f>RTD("rtdtrading.rtdserver",, "RANI3_B_0", "IMPVT")</f>
        <v>-</v>
      </c>
      <c r="CA92" t="str">
        <f>RTD("rtdtrading.rtdserver",, "RANI3_B_0", "DELTA")</f>
        <v>-</v>
      </c>
      <c r="CB92" t="str">
        <f>RTD("rtdtrading.rtdserver",, "RANI3_B_0", "GAMA")</f>
        <v>-</v>
      </c>
      <c r="CC92" t="str">
        <f>RTD("rtdtrading.rtdserver",, "RANI3_B_0", "THETA")</f>
        <v>-</v>
      </c>
      <c r="CD92" t="str">
        <f>RTD("rtdtrading.rtdserver",, "RANI3_B_0", "RHO")</f>
        <v>-</v>
      </c>
      <c r="CE92" t="str">
        <f>RTD("rtdtrading.rtdserver",, "RANI3_B_0", "VEGA")</f>
        <v>-</v>
      </c>
      <c r="CF92" t="str">
        <f>RTD("rtdtrading.rtdserver",, "RANI3_B_0", "VIA")</f>
        <v>-</v>
      </c>
      <c r="CG92" t="str">
        <f>RTD("rtdtrading.rtdserver",, "RANI3_B_0", "VIB")</f>
        <v>-</v>
      </c>
      <c r="CH92" t="str">
        <f>RTD("rtdtrading.rtdserver",, "RANI3_B_0", "DOBRAR")</f>
        <v>-</v>
      </c>
      <c r="CI92" t="str">
        <f>RTD("rtdtrading.rtdserver",, "RANI3_B_0", "VIVH")</f>
        <v>-</v>
      </c>
      <c r="CJ92" t="str">
        <f>RTD("rtdtrading.rtdserver",, "RANI3_B_0", "VINT")</f>
        <v>-</v>
      </c>
      <c r="CK92" t="str">
        <f>RTD("rtdtrading.rtdserver",, "RANI3_B_0", "VEXT")</f>
        <v>-</v>
      </c>
    </row>
    <row r="93" spans="1:89" x14ac:dyDescent="0.25">
      <c r="E93" s="76"/>
    </row>
    <row r="94" spans="1:89" x14ac:dyDescent="0.25">
      <c r="E94" s="77"/>
    </row>
  </sheetData>
  <autoFilter ref="B5:F89" xr:uid="{F4FF90DF-F246-4771-9734-73F6BE0EE4BE}"/>
  <mergeCells count="3">
    <mergeCell ref="D2:E2"/>
    <mergeCell ref="D1:E1"/>
    <mergeCell ref="D3:E3"/>
  </mergeCells>
  <phoneticPr fontId="21" type="noConversion"/>
  <conditionalFormatting sqref="F2">
    <cfRule type="expression" dxfId="1" priority="1">
      <formula>$F$2&lt;0</formula>
    </cfRule>
    <cfRule type="expression" dxfId="0" priority="2">
      <formula>$F$2&gt;0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1D72-50C0-4DCF-BFE3-71F64A16B358}">
  <dimension ref="A1:J92"/>
  <sheetViews>
    <sheetView workbookViewId="0">
      <selection activeCell="B3" sqref="B3"/>
    </sheetView>
  </sheetViews>
  <sheetFormatPr defaultRowHeight="15" x14ac:dyDescent="0.25"/>
  <sheetData>
    <row r="1" spans="1:10" x14ac:dyDescent="0.25">
      <c r="G1" t="s">
        <v>414</v>
      </c>
    </row>
    <row r="3" spans="1:10" x14ac:dyDescent="0.25">
      <c r="A3" s="24" t="s">
        <v>415</v>
      </c>
      <c r="B3" t="s">
        <v>416</v>
      </c>
      <c r="C3" t="s">
        <v>417</v>
      </c>
      <c r="D3" t="s">
        <v>130</v>
      </c>
      <c r="E3">
        <v>235665566</v>
      </c>
      <c r="F3">
        <v>0.36699999999999999</v>
      </c>
      <c r="H3" t="str">
        <f>dados!B6</f>
        <v>ALOS3</v>
      </c>
      <c r="J3" t="str">
        <f>IF(H3=B3,"ok","Troca")</f>
        <v>Troca</v>
      </c>
    </row>
    <row r="4" spans="1:10" x14ac:dyDescent="0.25">
      <c r="B4" t="s">
        <v>128</v>
      </c>
      <c r="C4" t="s">
        <v>129</v>
      </c>
      <c r="D4" t="s">
        <v>130</v>
      </c>
      <c r="E4">
        <v>532616595</v>
      </c>
      <c r="F4">
        <v>0.51</v>
      </c>
      <c r="H4" t="str">
        <f>dados!B7</f>
        <v>ABEV3</v>
      </c>
      <c r="J4" t="str">
        <f t="shared" ref="J4:J67" si="0">IF(H4=B4,"ok","Troca")</f>
        <v>Troca</v>
      </c>
    </row>
    <row r="5" spans="1:10" x14ac:dyDescent="0.25">
      <c r="B5" t="s">
        <v>418</v>
      </c>
      <c r="C5" t="s">
        <v>419</v>
      </c>
      <c r="D5" t="s">
        <v>167</v>
      </c>
      <c r="E5">
        <v>176733968</v>
      </c>
      <c r="F5">
        <v>8.2000000000000003E-2</v>
      </c>
      <c r="H5" t="str">
        <f>dados!B8</f>
        <v>ASAI3</v>
      </c>
      <c r="J5" t="str">
        <f t="shared" si="0"/>
        <v>Troca</v>
      </c>
    </row>
    <row r="6" spans="1:10" x14ac:dyDescent="0.25">
      <c r="B6" t="s">
        <v>133</v>
      </c>
      <c r="C6" t="s">
        <v>134</v>
      </c>
      <c r="D6" t="s">
        <v>135</v>
      </c>
      <c r="E6">
        <v>4394245879</v>
      </c>
      <c r="F6">
        <v>2.5609999999999999</v>
      </c>
      <c r="H6" t="str">
        <f>dados!B9</f>
        <v>AURE3</v>
      </c>
      <c r="J6" t="str">
        <f t="shared" si="0"/>
        <v>Troca</v>
      </c>
    </row>
    <row r="7" spans="1:10" x14ac:dyDescent="0.25">
      <c r="B7" t="s">
        <v>359</v>
      </c>
      <c r="C7" t="s">
        <v>420</v>
      </c>
      <c r="D7" t="s">
        <v>142</v>
      </c>
      <c r="E7">
        <v>62305891</v>
      </c>
      <c r="F7">
        <v>0.155</v>
      </c>
      <c r="H7" t="str">
        <f>dados!B10</f>
        <v>AZZA3</v>
      </c>
      <c r="J7" t="str">
        <f t="shared" si="0"/>
        <v>Troca</v>
      </c>
    </row>
    <row r="8" spans="1:10" x14ac:dyDescent="0.25">
      <c r="B8" t="s">
        <v>140</v>
      </c>
      <c r="C8" t="s">
        <v>141</v>
      </c>
      <c r="D8" t="s">
        <v>142</v>
      </c>
      <c r="E8">
        <v>1349217892</v>
      </c>
      <c r="F8">
        <v>0.83699999999999997</v>
      </c>
      <c r="H8" t="str">
        <f>dados!B11</f>
        <v>B3SA3</v>
      </c>
      <c r="J8" t="str">
        <f t="shared" si="0"/>
        <v>Troca</v>
      </c>
    </row>
    <row r="9" spans="1:10" x14ac:dyDescent="0.25">
      <c r="B9" t="s">
        <v>421</v>
      </c>
      <c r="C9" t="s">
        <v>422</v>
      </c>
      <c r="D9" t="s">
        <v>423</v>
      </c>
      <c r="E9">
        <v>327593725</v>
      </c>
      <c r="F9">
        <v>0.157</v>
      </c>
      <c r="H9" t="str">
        <f>dados!B12</f>
        <v>BBSE3</v>
      </c>
      <c r="J9" t="str">
        <f t="shared" si="0"/>
        <v>Troca</v>
      </c>
    </row>
    <row r="10" spans="1:10" x14ac:dyDescent="0.25">
      <c r="B10" t="s">
        <v>154</v>
      </c>
      <c r="C10" t="s">
        <v>155</v>
      </c>
      <c r="D10" t="s">
        <v>142</v>
      </c>
      <c r="E10">
        <v>5602790110</v>
      </c>
      <c r="F10">
        <v>2.9289999999999998</v>
      </c>
      <c r="H10" t="str">
        <f>dados!B13</f>
        <v>BBDC3</v>
      </c>
      <c r="J10" t="str">
        <f t="shared" si="0"/>
        <v>Troca</v>
      </c>
    </row>
    <row r="11" spans="1:10" x14ac:dyDescent="0.25">
      <c r="B11" t="s">
        <v>157</v>
      </c>
      <c r="C11" t="s">
        <v>158</v>
      </c>
      <c r="D11" t="s">
        <v>142</v>
      </c>
      <c r="E11">
        <v>671750768</v>
      </c>
      <c r="F11">
        <v>1.0289999999999999</v>
      </c>
      <c r="H11" t="str">
        <f>dados!B14</f>
        <v>BBDC4</v>
      </c>
      <c r="J11" t="str">
        <f t="shared" si="0"/>
        <v>Troca</v>
      </c>
    </row>
    <row r="12" spans="1:10" x14ac:dyDescent="0.25">
      <c r="B12" t="s">
        <v>161</v>
      </c>
      <c r="C12" t="s">
        <v>162</v>
      </c>
      <c r="D12" t="s">
        <v>424</v>
      </c>
      <c r="E12">
        <v>1500728902</v>
      </c>
      <c r="F12">
        <v>0.878</v>
      </c>
      <c r="H12" t="str">
        <f>dados!B15</f>
        <v>BRAP4</v>
      </c>
      <c r="J12" t="str">
        <f t="shared" si="0"/>
        <v>Troca</v>
      </c>
    </row>
    <row r="13" spans="1:10" x14ac:dyDescent="0.25">
      <c r="B13" t="s">
        <v>166</v>
      </c>
      <c r="C13" t="s">
        <v>162</v>
      </c>
      <c r="D13" t="s">
        <v>278</v>
      </c>
      <c r="E13">
        <v>5146576868</v>
      </c>
      <c r="F13">
        <v>3.363</v>
      </c>
      <c r="H13" t="str">
        <f>dados!B16</f>
        <v>BBAS3</v>
      </c>
      <c r="J13" t="str">
        <f t="shared" si="0"/>
        <v>Troca</v>
      </c>
    </row>
    <row r="14" spans="1:10" x14ac:dyDescent="0.25">
      <c r="B14" t="s">
        <v>170</v>
      </c>
      <c r="C14" t="s">
        <v>171</v>
      </c>
      <c r="D14" t="s">
        <v>425</v>
      </c>
      <c r="E14">
        <v>251003438</v>
      </c>
      <c r="F14">
        <v>0.24</v>
      </c>
      <c r="H14" t="str">
        <f>dados!B17</f>
        <v>BRKM5</v>
      </c>
      <c r="J14" t="str">
        <f t="shared" si="0"/>
        <v>Troca</v>
      </c>
    </row>
    <row r="15" spans="1:10" x14ac:dyDescent="0.25">
      <c r="B15" t="s">
        <v>168</v>
      </c>
      <c r="C15" t="s">
        <v>174</v>
      </c>
      <c r="D15" t="s">
        <v>142</v>
      </c>
      <c r="E15">
        <v>2841898224</v>
      </c>
      <c r="F15">
        <v>3.722</v>
      </c>
      <c r="H15" t="str">
        <f>dados!B18</f>
        <v>BRAV3</v>
      </c>
      <c r="J15" t="str">
        <f t="shared" si="0"/>
        <v>Troca</v>
      </c>
    </row>
    <row r="16" spans="1:10" x14ac:dyDescent="0.25">
      <c r="B16" t="s">
        <v>177</v>
      </c>
      <c r="C16" t="s">
        <v>178</v>
      </c>
      <c r="D16" t="s">
        <v>179</v>
      </c>
      <c r="E16">
        <v>265877867</v>
      </c>
      <c r="F16">
        <v>0.27700000000000002</v>
      </c>
      <c r="H16" t="str">
        <f>dados!B19</f>
        <v>BPAC11</v>
      </c>
      <c r="J16" t="str">
        <f t="shared" si="0"/>
        <v>Troca</v>
      </c>
    </row>
    <row r="17" spans="2:10" x14ac:dyDescent="0.25">
      <c r="B17" t="s">
        <v>186</v>
      </c>
      <c r="C17" t="s">
        <v>187</v>
      </c>
      <c r="D17" t="s">
        <v>301</v>
      </c>
      <c r="E17">
        <v>1677525446</v>
      </c>
      <c r="F17">
        <v>1.325</v>
      </c>
      <c r="H17" t="str">
        <f>dados!B20</f>
        <v>CXSE3</v>
      </c>
      <c r="J17" t="str">
        <f t="shared" si="0"/>
        <v>Troca</v>
      </c>
    </row>
    <row r="18" spans="2:10" x14ac:dyDescent="0.25">
      <c r="B18" t="s">
        <v>190</v>
      </c>
      <c r="C18" t="s">
        <v>191</v>
      </c>
      <c r="D18" t="s">
        <v>192</v>
      </c>
      <c r="E18">
        <v>1150645866</v>
      </c>
      <c r="F18">
        <v>1.8580000000000001</v>
      </c>
      <c r="H18" t="str">
        <f>dados!B21</f>
        <v>CEAB3</v>
      </c>
      <c r="J18" t="str">
        <f t="shared" si="0"/>
        <v>Troca</v>
      </c>
    </row>
    <row r="19" spans="2:10" x14ac:dyDescent="0.25">
      <c r="B19" t="s">
        <v>328</v>
      </c>
      <c r="C19" t="s">
        <v>426</v>
      </c>
      <c r="D19" t="s">
        <v>142</v>
      </c>
      <c r="E19">
        <v>533990587</v>
      </c>
      <c r="F19">
        <v>0.28100000000000003</v>
      </c>
      <c r="H19" t="str">
        <f>dados!B22</f>
        <v>CMIG4</v>
      </c>
      <c r="J19" t="str">
        <f t="shared" si="0"/>
        <v>Troca</v>
      </c>
    </row>
    <row r="20" spans="2:10" x14ac:dyDescent="0.25">
      <c r="B20" t="s">
        <v>427</v>
      </c>
      <c r="C20" t="s">
        <v>428</v>
      </c>
      <c r="D20" t="s">
        <v>142</v>
      </c>
      <c r="E20">
        <v>995335937</v>
      </c>
      <c r="F20">
        <v>0.59</v>
      </c>
      <c r="H20" t="str">
        <f>dados!B23</f>
        <v>COGN3</v>
      </c>
      <c r="J20" t="str">
        <f t="shared" si="0"/>
        <v>Troca</v>
      </c>
    </row>
    <row r="21" spans="2:10" x14ac:dyDescent="0.25">
      <c r="B21" t="s">
        <v>197</v>
      </c>
      <c r="C21" t="s">
        <v>198</v>
      </c>
      <c r="D21" t="s">
        <v>429</v>
      </c>
      <c r="E21">
        <v>1868640510</v>
      </c>
      <c r="F21">
        <v>0.91800000000000004</v>
      </c>
      <c r="H21" t="str">
        <f>dados!B24</f>
        <v>CPLE6</v>
      </c>
      <c r="J21" t="str">
        <f t="shared" si="0"/>
        <v>Troca</v>
      </c>
    </row>
    <row r="22" spans="2:10" x14ac:dyDescent="0.25">
      <c r="B22" t="s">
        <v>144</v>
      </c>
      <c r="C22" t="s">
        <v>430</v>
      </c>
      <c r="D22" t="s">
        <v>142</v>
      </c>
      <c r="E22">
        <v>1095462329</v>
      </c>
      <c r="F22">
        <v>0.28899999999999998</v>
      </c>
      <c r="H22" t="str">
        <f>dados!B25</f>
        <v>CSAN3</v>
      </c>
      <c r="J22" t="str">
        <f t="shared" si="0"/>
        <v>Troca</v>
      </c>
    </row>
    <row r="23" spans="2:10" x14ac:dyDescent="0.25">
      <c r="B23" t="s">
        <v>201</v>
      </c>
      <c r="C23" t="s">
        <v>202</v>
      </c>
      <c r="D23" t="s">
        <v>142</v>
      </c>
      <c r="E23">
        <v>1814920980</v>
      </c>
      <c r="F23">
        <v>0.191</v>
      </c>
      <c r="H23" t="str">
        <f>dados!B26</f>
        <v>CPFE3</v>
      </c>
      <c r="J23" t="str">
        <f t="shared" si="0"/>
        <v>Troca</v>
      </c>
    </row>
    <row r="24" spans="2:10" x14ac:dyDescent="0.25">
      <c r="B24" t="s">
        <v>204</v>
      </c>
      <c r="C24" t="s">
        <v>205</v>
      </c>
      <c r="D24" t="s">
        <v>431</v>
      </c>
      <c r="E24">
        <v>1679335290</v>
      </c>
      <c r="F24">
        <v>0.745</v>
      </c>
      <c r="H24" t="str">
        <f>dados!B27</f>
        <v>CMIN3</v>
      </c>
      <c r="J24" t="str">
        <f t="shared" si="0"/>
        <v>Troca</v>
      </c>
    </row>
    <row r="25" spans="2:10" x14ac:dyDescent="0.25">
      <c r="B25" t="s">
        <v>209</v>
      </c>
      <c r="C25" t="s">
        <v>210</v>
      </c>
      <c r="D25" t="s">
        <v>301</v>
      </c>
      <c r="E25">
        <v>1168097881</v>
      </c>
      <c r="F25">
        <v>0.79800000000000004</v>
      </c>
      <c r="H25" t="str">
        <f>dados!B28</f>
        <v>CURY3</v>
      </c>
      <c r="J25" t="str">
        <f t="shared" si="0"/>
        <v>Troca</v>
      </c>
    </row>
    <row r="26" spans="2:10" x14ac:dyDescent="0.25">
      <c r="B26" t="s">
        <v>213</v>
      </c>
      <c r="C26" t="s">
        <v>214</v>
      </c>
      <c r="D26" t="s">
        <v>130</v>
      </c>
      <c r="E26">
        <v>187732538</v>
      </c>
      <c r="F26">
        <v>0.28699999999999998</v>
      </c>
      <c r="H26" t="str">
        <f>dados!B29</f>
        <v>CVCB3</v>
      </c>
      <c r="J26" t="str">
        <f t="shared" si="0"/>
        <v>Troca</v>
      </c>
    </row>
    <row r="27" spans="2:10" x14ac:dyDescent="0.25">
      <c r="B27" t="s">
        <v>217</v>
      </c>
      <c r="C27" t="s">
        <v>218</v>
      </c>
      <c r="D27" t="s">
        <v>219</v>
      </c>
      <c r="E27">
        <v>1110559345</v>
      </c>
      <c r="F27">
        <v>0.26900000000000002</v>
      </c>
      <c r="H27" t="str">
        <f>dados!B30</f>
        <v>CYRE3</v>
      </c>
      <c r="J27" t="str">
        <f t="shared" si="0"/>
        <v>Troca</v>
      </c>
    </row>
    <row r="28" spans="2:10" x14ac:dyDescent="0.25">
      <c r="B28" t="s">
        <v>29</v>
      </c>
      <c r="C28" t="s">
        <v>221</v>
      </c>
      <c r="D28" t="s">
        <v>142</v>
      </c>
      <c r="E28">
        <v>525582771</v>
      </c>
      <c r="F28">
        <v>5.6000000000000001E-2</v>
      </c>
      <c r="H28" t="str">
        <f>dados!B31</f>
        <v>DIRR3</v>
      </c>
      <c r="J28" t="str">
        <f t="shared" si="0"/>
        <v>Troca</v>
      </c>
    </row>
    <row r="29" spans="2:10" x14ac:dyDescent="0.25">
      <c r="B29" t="s">
        <v>222</v>
      </c>
      <c r="C29" t="s">
        <v>224</v>
      </c>
      <c r="D29" t="s">
        <v>130</v>
      </c>
      <c r="E29">
        <v>265784616</v>
      </c>
      <c r="F29">
        <v>0.25900000000000001</v>
      </c>
      <c r="H29" t="str">
        <f>dados!B32</f>
        <v>ELET3</v>
      </c>
      <c r="J29" t="str">
        <f t="shared" si="0"/>
        <v>Troca</v>
      </c>
    </row>
    <row r="30" spans="2:10" x14ac:dyDescent="0.25">
      <c r="B30" t="s">
        <v>369</v>
      </c>
      <c r="C30" t="s">
        <v>432</v>
      </c>
      <c r="D30" t="s">
        <v>142</v>
      </c>
      <c r="E30">
        <v>302768240</v>
      </c>
      <c r="F30">
        <v>0.107</v>
      </c>
      <c r="H30" t="str">
        <f>dados!B33</f>
        <v>ELET6</v>
      </c>
      <c r="J30" t="str">
        <f t="shared" si="0"/>
        <v>Troca</v>
      </c>
    </row>
    <row r="31" spans="2:10" x14ac:dyDescent="0.25">
      <c r="B31" t="s">
        <v>230</v>
      </c>
      <c r="C31" t="s">
        <v>231</v>
      </c>
      <c r="D31" t="s">
        <v>433</v>
      </c>
      <c r="E31">
        <v>1980568384</v>
      </c>
      <c r="F31">
        <v>3.593</v>
      </c>
      <c r="H31" t="str">
        <f>dados!B34</f>
        <v>EMBR3</v>
      </c>
      <c r="J31" t="str">
        <f t="shared" si="0"/>
        <v>Troca</v>
      </c>
    </row>
    <row r="32" spans="2:10" x14ac:dyDescent="0.25">
      <c r="B32" t="s">
        <v>234</v>
      </c>
      <c r="C32" t="s">
        <v>231</v>
      </c>
      <c r="D32" t="s">
        <v>434</v>
      </c>
      <c r="E32">
        <v>268544014</v>
      </c>
      <c r="F32">
        <v>0.53800000000000003</v>
      </c>
      <c r="H32" t="str">
        <f>dados!B35</f>
        <v>ENGI11</v>
      </c>
      <c r="J32" t="str">
        <f t="shared" si="0"/>
        <v>Troca</v>
      </c>
    </row>
    <row r="33" spans="2:10" x14ac:dyDescent="0.25">
      <c r="B33" t="s">
        <v>215</v>
      </c>
      <c r="C33" t="s">
        <v>237</v>
      </c>
      <c r="D33" t="s">
        <v>142</v>
      </c>
      <c r="E33">
        <v>734632705</v>
      </c>
      <c r="F33">
        <v>1.1359999999999999</v>
      </c>
      <c r="H33" t="str">
        <f>dados!B36</f>
        <v>ENEV3</v>
      </c>
      <c r="J33" t="str">
        <f t="shared" si="0"/>
        <v>Troca</v>
      </c>
    </row>
    <row r="34" spans="2:10" x14ac:dyDescent="0.25">
      <c r="B34" t="s">
        <v>239</v>
      </c>
      <c r="C34" t="s">
        <v>240</v>
      </c>
      <c r="D34" t="s">
        <v>192</v>
      </c>
      <c r="E34">
        <v>326511683</v>
      </c>
      <c r="F34">
        <v>0.70599999999999996</v>
      </c>
      <c r="H34" t="str">
        <f>dados!B37</f>
        <v>EGIE3</v>
      </c>
      <c r="J34" t="str">
        <f t="shared" si="0"/>
        <v>Troca</v>
      </c>
    </row>
    <row r="35" spans="2:10" x14ac:dyDescent="0.25">
      <c r="B35" t="s">
        <v>243</v>
      </c>
      <c r="C35" t="s">
        <v>244</v>
      </c>
      <c r="D35" t="s">
        <v>142</v>
      </c>
      <c r="E35">
        <v>1579130168</v>
      </c>
      <c r="F35">
        <v>0.93300000000000005</v>
      </c>
      <c r="H35" t="str">
        <f>dados!B38</f>
        <v>EQTL3</v>
      </c>
      <c r="J35" t="str">
        <f t="shared" si="0"/>
        <v>Troca</v>
      </c>
    </row>
    <row r="36" spans="2:10" x14ac:dyDescent="0.25">
      <c r="B36" t="s">
        <v>247</v>
      </c>
      <c r="C36" t="s">
        <v>248</v>
      </c>
      <c r="D36" t="s">
        <v>142</v>
      </c>
      <c r="E36">
        <v>255236961</v>
      </c>
      <c r="F36">
        <v>0.501</v>
      </c>
      <c r="H36" t="str">
        <f>dados!B39</f>
        <v>FLRY3</v>
      </c>
      <c r="J36" t="str">
        <f t="shared" si="0"/>
        <v>Troca</v>
      </c>
    </row>
    <row r="37" spans="2:10" x14ac:dyDescent="0.25">
      <c r="B37" t="s">
        <v>250</v>
      </c>
      <c r="C37" t="s">
        <v>251</v>
      </c>
      <c r="D37" t="s">
        <v>435</v>
      </c>
      <c r="E37">
        <v>1112299356</v>
      </c>
      <c r="F37">
        <v>1.587</v>
      </c>
      <c r="H37" t="str">
        <f>dados!B40</f>
        <v>GGBR4</v>
      </c>
      <c r="J37" t="str">
        <f t="shared" si="0"/>
        <v>Troca</v>
      </c>
    </row>
    <row r="38" spans="2:10" x14ac:dyDescent="0.25">
      <c r="B38" t="s">
        <v>436</v>
      </c>
      <c r="C38" t="s">
        <v>437</v>
      </c>
      <c r="D38" t="s">
        <v>142</v>
      </c>
      <c r="E38">
        <v>91514307</v>
      </c>
      <c r="F38">
        <v>0.06</v>
      </c>
      <c r="H38" t="str">
        <f>dados!B41</f>
        <v>GOAU4</v>
      </c>
      <c r="J38" t="str">
        <f t="shared" si="0"/>
        <v>Troca</v>
      </c>
    </row>
    <row r="39" spans="2:10" x14ac:dyDescent="0.25">
      <c r="B39" t="s">
        <v>254</v>
      </c>
      <c r="C39" t="s">
        <v>255</v>
      </c>
      <c r="D39" t="s">
        <v>142</v>
      </c>
      <c r="E39">
        <v>240822651</v>
      </c>
      <c r="F39">
        <v>0.16600000000000001</v>
      </c>
      <c r="H39" t="str">
        <f>dados!B42</f>
        <v>HAPV3</v>
      </c>
      <c r="J39" t="str">
        <f t="shared" si="0"/>
        <v>Troca</v>
      </c>
    </row>
    <row r="40" spans="2:10" x14ac:dyDescent="0.25">
      <c r="B40" t="s">
        <v>164</v>
      </c>
      <c r="C40" t="s">
        <v>257</v>
      </c>
      <c r="D40" t="s">
        <v>167</v>
      </c>
      <c r="E40">
        <v>1342230607</v>
      </c>
      <c r="F40">
        <v>1.1819999999999999</v>
      </c>
      <c r="H40" t="str">
        <f>dados!B43</f>
        <v>HYPE3</v>
      </c>
      <c r="J40" t="str">
        <f t="shared" si="0"/>
        <v>Troca</v>
      </c>
    </row>
    <row r="41" spans="2:10" x14ac:dyDescent="0.25">
      <c r="B41" t="s">
        <v>188</v>
      </c>
      <c r="C41" t="s">
        <v>259</v>
      </c>
      <c r="D41" t="s">
        <v>167</v>
      </c>
      <c r="E41">
        <v>660411219</v>
      </c>
      <c r="F41">
        <v>0.33800000000000002</v>
      </c>
      <c r="H41" t="str">
        <f>dados!B44</f>
        <v>IGTI11</v>
      </c>
      <c r="J41" t="str">
        <f t="shared" si="0"/>
        <v>Troca</v>
      </c>
    </row>
    <row r="42" spans="2:10" x14ac:dyDescent="0.25">
      <c r="B42" t="s">
        <v>438</v>
      </c>
      <c r="C42" t="s">
        <v>439</v>
      </c>
      <c r="D42" t="s">
        <v>142</v>
      </c>
      <c r="E42">
        <v>846244302</v>
      </c>
      <c r="F42">
        <v>0.66900000000000004</v>
      </c>
      <c r="H42" t="str">
        <f>dados!B45</f>
        <v>IRBR3</v>
      </c>
      <c r="J42" t="str">
        <f t="shared" si="0"/>
        <v>Troca</v>
      </c>
    </row>
    <row r="43" spans="2:10" x14ac:dyDescent="0.25">
      <c r="B43" t="s">
        <v>440</v>
      </c>
      <c r="C43" t="s">
        <v>441</v>
      </c>
      <c r="D43" t="s">
        <v>142</v>
      </c>
      <c r="E43">
        <v>496029967</v>
      </c>
      <c r="F43">
        <v>0.14299999999999999</v>
      </c>
      <c r="H43" t="str">
        <f>dados!B46</f>
        <v>ISAE4</v>
      </c>
      <c r="J43" t="str">
        <f t="shared" si="0"/>
        <v>Troca</v>
      </c>
    </row>
    <row r="44" spans="2:10" x14ac:dyDescent="0.25">
      <c r="B44" t="s">
        <v>261</v>
      </c>
      <c r="C44" t="s">
        <v>262</v>
      </c>
      <c r="D44" t="s">
        <v>142</v>
      </c>
      <c r="E44">
        <v>4394332306</v>
      </c>
      <c r="F44">
        <v>0.77300000000000002</v>
      </c>
      <c r="H44" t="str">
        <f>dados!B47</f>
        <v>ITSA4</v>
      </c>
      <c r="J44" t="str">
        <f t="shared" si="0"/>
        <v>Troca</v>
      </c>
    </row>
    <row r="45" spans="2:10" x14ac:dyDescent="0.25">
      <c r="B45" t="s">
        <v>264</v>
      </c>
      <c r="C45" t="s">
        <v>265</v>
      </c>
      <c r="D45" t="s">
        <v>442</v>
      </c>
      <c r="E45">
        <v>409490388</v>
      </c>
      <c r="F45">
        <v>0.57699999999999996</v>
      </c>
      <c r="H45" t="str">
        <f>dados!B48</f>
        <v>ITUB4</v>
      </c>
      <c r="J45" t="str">
        <f t="shared" si="0"/>
        <v>Troca</v>
      </c>
    </row>
    <row r="46" spans="2:10" x14ac:dyDescent="0.25">
      <c r="B46" t="s">
        <v>267</v>
      </c>
      <c r="C46" t="s">
        <v>268</v>
      </c>
      <c r="D46" t="s">
        <v>269</v>
      </c>
      <c r="E46">
        <v>217622138</v>
      </c>
      <c r="F46">
        <v>0.222</v>
      </c>
      <c r="H46" t="str">
        <f>dados!B49</f>
        <v>KLBN11</v>
      </c>
      <c r="J46" t="str">
        <f t="shared" si="0"/>
        <v>Troca</v>
      </c>
    </row>
    <row r="47" spans="2:10" x14ac:dyDescent="0.25">
      <c r="B47" t="s">
        <v>271</v>
      </c>
      <c r="C47" t="s">
        <v>272</v>
      </c>
      <c r="D47" t="s">
        <v>142</v>
      </c>
      <c r="E47">
        <v>81838843</v>
      </c>
      <c r="F47">
        <v>0.16900000000000001</v>
      </c>
      <c r="H47" t="str">
        <f>dados!B50</f>
        <v>RENT3</v>
      </c>
      <c r="J47" t="str">
        <f t="shared" si="0"/>
        <v>Troca</v>
      </c>
    </row>
    <row r="48" spans="2:10" x14ac:dyDescent="0.25">
      <c r="B48" t="s">
        <v>232</v>
      </c>
      <c r="C48" t="s">
        <v>277</v>
      </c>
      <c r="D48" t="s">
        <v>167</v>
      </c>
      <c r="E48">
        <v>5372783971</v>
      </c>
      <c r="F48">
        <v>2.4660000000000002</v>
      </c>
      <c r="H48" t="str">
        <f>dados!B51</f>
        <v>LREN3</v>
      </c>
      <c r="J48" t="str">
        <f t="shared" si="0"/>
        <v>Troca</v>
      </c>
    </row>
    <row r="49" spans="2:10" x14ac:dyDescent="0.25">
      <c r="B49" t="s">
        <v>28</v>
      </c>
      <c r="C49" t="s">
        <v>281</v>
      </c>
      <c r="D49" t="s">
        <v>278</v>
      </c>
      <c r="E49">
        <v>4801593832</v>
      </c>
      <c r="F49">
        <v>7.2169999999999996</v>
      </c>
      <c r="H49" t="str">
        <f>dados!B52</f>
        <v>MGLU3</v>
      </c>
      <c r="J49" t="str">
        <f t="shared" si="0"/>
        <v>Troca</v>
      </c>
    </row>
    <row r="50" spans="2:10" x14ac:dyDescent="0.25">
      <c r="B50" t="s">
        <v>332</v>
      </c>
      <c r="C50" t="s">
        <v>443</v>
      </c>
      <c r="D50" t="s">
        <v>142</v>
      </c>
      <c r="E50">
        <v>1134986472</v>
      </c>
      <c r="F50">
        <v>1.2809999999999999</v>
      </c>
      <c r="H50" t="str">
        <f>dados!B53</f>
        <v>POMO4</v>
      </c>
      <c r="J50" t="str">
        <f t="shared" si="0"/>
        <v>Troca</v>
      </c>
    </row>
    <row r="51" spans="2:10" x14ac:dyDescent="0.25">
      <c r="B51" t="s">
        <v>283</v>
      </c>
      <c r="C51" t="s">
        <v>284</v>
      </c>
      <c r="D51" t="s">
        <v>192</v>
      </c>
      <c r="E51">
        <v>706747385</v>
      </c>
      <c r="F51">
        <v>0.77400000000000002</v>
      </c>
      <c r="H51" t="str">
        <f>dados!B54</f>
        <v>MBRF3</v>
      </c>
      <c r="J51" t="str">
        <f t="shared" si="0"/>
        <v>Troca</v>
      </c>
    </row>
    <row r="52" spans="2:10" x14ac:dyDescent="0.25">
      <c r="B52" t="s">
        <v>207</v>
      </c>
      <c r="C52" t="s">
        <v>287</v>
      </c>
      <c r="D52" t="s">
        <v>142</v>
      </c>
      <c r="E52">
        <v>853202347</v>
      </c>
      <c r="F52">
        <v>1.956</v>
      </c>
      <c r="H52" t="str">
        <f>dados!B55</f>
        <v>BEEF3</v>
      </c>
      <c r="J52" t="str">
        <f t="shared" si="0"/>
        <v>Troca</v>
      </c>
    </row>
    <row r="53" spans="2:10" x14ac:dyDescent="0.25">
      <c r="B53" t="s">
        <v>241</v>
      </c>
      <c r="C53" t="s">
        <v>289</v>
      </c>
      <c r="D53" t="s">
        <v>142</v>
      </c>
      <c r="E53">
        <v>951329770</v>
      </c>
      <c r="F53">
        <v>0.70299999999999996</v>
      </c>
      <c r="H53" t="str">
        <f>dados!B56</f>
        <v>MOTV3</v>
      </c>
      <c r="J53" t="str">
        <f t="shared" si="0"/>
        <v>Troca</v>
      </c>
    </row>
    <row r="54" spans="2:10" x14ac:dyDescent="0.25">
      <c r="B54" t="s">
        <v>444</v>
      </c>
      <c r="C54" t="s">
        <v>445</v>
      </c>
      <c r="D54" t="s">
        <v>142</v>
      </c>
      <c r="E54">
        <v>393173139</v>
      </c>
      <c r="F54">
        <v>9.1999999999999998E-2</v>
      </c>
      <c r="H54" t="str">
        <f>dados!B57</f>
        <v>MRVE3</v>
      </c>
      <c r="J54" t="str">
        <f t="shared" si="0"/>
        <v>Troca</v>
      </c>
    </row>
    <row r="55" spans="2:10" x14ac:dyDescent="0.25">
      <c r="B55" t="s">
        <v>245</v>
      </c>
      <c r="C55" t="s">
        <v>291</v>
      </c>
      <c r="D55" t="s">
        <v>142</v>
      </c>
      <c r="E55">
        <v>3142317573</v>
      </c>
      <c r="F55">
        <v>0.216</v>
      </c>
      <c r="H55" t="str">
        <f>dados!B58</f>
        <v>MULT3</v>
      </c>
      <c r="J55" t="str">
        <f t="shared" si="0"/>
        <v>Troca</v>
      </c>
    </row>
    <row r="56" spans="2:10" x14ac:dyDescent="0.25">
      <c r="B56" t="s">
        <v>296</v>
      </c>
      <c r="C56" t="s">
        <v>297</v>
      </c>
      <c r="D56" t="s">
        <v>142</v>
      </c>
      <c r="E56">
        <v>331799687</v>
      </c>
      <c r="F56">
        <v>0.14899999999999999</v>
      </c>
      <c r="H56" t="str">
        <f>dados!B59</f>
        <v>NATU3</v>
      </c>
      <c r="J56" t="str">
        <f t="shared" si="0"/>
        <v>Troca</v>
      </c>
    </row>
    <row r="57" spans="2:10" x14ac:dyDescent="0.25">
      <c r="B57" t="s">
        <v>299</v>
      </c>
      <c r="C57" t="s">
        <v>300</v>
      </c>
      <c r="D57" t="s">
        <v>142</v>
      </c>
      <c r="E57">
        <v>261036182</v>
      </c>
      <c r="F57">
        <v>7.4999999999999997E-2</v>
      </c>
      <c r="H57" t="str">
        <f>dados!B60</f>
        <v>PCAR3</v>
      </c>
      <c r="J57" t="str">
        <f t="shared" si="0"/>
        <v>Troca</v>
      </c>
    </row>
    <row r="58" spans="2:10" x14ac:dyDescent="0.25">
      <c r="B58" t="s">
        <v>184</v>
      </c>
      <c r="C58" t="s">
        <v>306</v>
      </c>
      <c r="D58" t="s">
        <v>301</v>
      </c>
      <c r="E58">
        <v>376187582</v>
      </c>
      <c r="F58">
        <v>0.125</v>
      </c>
      <c r="H58" t="str">
        <f>dados!B61</f>
        <v>PETR3</v>
      </c>
      <c r="J58" t="str">
        <f t="shared" si="0"/>
        <v>Troca</v>
      </c>
    </row>
    <row r="59" spans="2:10" x14ac:dyDescent="0.25">
      <c r="B59" t="s">
        <v>308</v>
      </c>
      <c r="C59" t="s">
        <v>309</v>
      </c>
      <c r="D59" t="s">
        <v>219</v>
      </c>
      <c r="E59">
        <v>268505432</v>
      </c>
      <c r="F59">
        <v>0.29699999999999999</v>
      </c>
      <c r="H59" t="str">
        <f>dados!B62</f>
        <v>PETR4</v>
      </c>
      <c r="J59" t="str">
        <f t="shared" si="0"/>
        <v>Troca</v>
      </c>
    </row>
    <row r="60" spans="2:10" x14ac:dyDescent="0.25">
      <c r="B60" t="s">
        <v>315</v>
      </c>
      <c r="C60" t="s">
        <v>316</v>
      </c>
      <c r="D60" t="s">
        <v>142</v>
      </c>
      <c r="E60">
        <v>379430826</v>
      </c>
      <c r="F60">
        <v>5.7000000000000002E-2</v>
      </c>
      <c r="H60" t="str">
        <f>dados!B63</f>
        <v>RECV3</v>
      </c>
      <c r="J60" t="str">
        <f t="shared" si="0"/>
        <v>Troca</v>
      </c>
    </row>
    <row r="61" spans="2:10" x14ac:dyDescent="0.25">
      <c r="B61" t="s">
        <v>319</v>
      </c>
      <c r="C61" t="s">
        <v>320</v>
      </c>
      <c r="D61" t="s">
        <v>446</v>
      </c>
      <c r="E61">
        <v>2379877655</v>
      </c>
      <c r="F61">
        <v>4.8019999999999996</v>
      </c>
      <c r="H61" t="str">
        <f>dados!B64</f>
        <v>PRIO3</v>
      </c>
      <c r="J61" t="str">
        <f t="shared" si="0"/>
        <v>Troca</v>
      </c>
    </row>
    <row r="62" spans="2:10" x14ac:dyDescent="0.25">
      <c r="B62" t="s">
        <v>26</v>
      </c>
      <c r="C62" t="s">
        <v>320</v>
      </c>
      <c r="D62" t="s">
        <v>447</v>
      </c>
      <c r="E62">
        <v>4566445852</v>
      </c>
      <c r="F62">
        <v>8.7270000000000003</v>
      </c>
      <c r="H62" t="str">
        <f>dados!B65</f>
        <v>PSSA3</v>
      </c>
      <c r="J62" t="str">
        <f t="shared" si="0"/>
        <v>Troca</v>
      </c>
    </row>
    <row r="63" spans="2:10" x14ac:dyDescent="0.25">
      <c r="B63" t="s">
        <v>324</v>
      </c>
      <c r="C63" t="s">
        <v>325</v>
      </c>
      <c r="D63" t="s">
        <v>130</v>
      </c>
      <c r="E63">
        <v>275005663</v>
      </c>
      <c r="F63">
        <v>0.28299999999999997</v>
      </c>
      <c r="H63" t="str">
        <f>dados!B66</f>
        <v>RADL3</v>
      </c>
      <c r="J63" t="str">
        <f t="shared" si="0"/>
        <v>Troca</v>
      </c>
    </row>
    <row r="64" spans="2:10" x14ac:dyDescent="0.25">
      <c r="B64" t="s">
        <v>27</v>
      </c>
      <c r="C64" t="s">
        <v>327</v>
      </c>
      <c r="D64" t="s">
        <v>142</v>
      </c>
      <c r="E64">
        <v>800010734</v>
      </c>
      <c r="F64">
        <v>1.7929999999999999</v>
      </c>
      <c r="H64" t="str">
        <f>dados!B67</f>
        <v>RAIZ4</v>
      </c>
      <c r="J64" t="str">
        <f t="shared" si="0"/>
        <v>Troca</v>
      </c>
    </row>
    <row r="65" spans="2:10" x14ac:dyDescent="0.25">
      <c r="B65" t="s">
        <v>330</v>
      </c>
      <c r="C65" t="s">
        <v>331</v>
      </c>
      <c r="D65" t="s">
        <v>130</v>
      </c>
      <c r="E65">
        <v>309729428</v>
      </c>
      <c r="F65">
        <v>7.0999999999999994E-2</v>
      </c>
      <c r="H65" t="str">
        <f>dados!B68</f>
        <v>RDOR3</v>
      </c>
      <c r="J65" t="str">
        <f t="shared" si="0"/>
        <v>Troca</v>
      </c>
    </row>
    <row r="66" spans="2:10" x14ac:dyDescent="0.25">
      <c r="B66" t="s">
        <v>338</v>
      </c>
      <c r="C66" t="s">
        <v>339</v>
      </c>
      <c r="D66" t="s">
        <v>142</v>
      </c>
      <c r="E66">
        <v>1275798515</v>
      </c>
      <c r="F66">
        <v>1.546</v>
      </c>
      <c r="H66" t="str">
        <f>dados!B69</f>
        <v>RAIL3</v>
      </c>
      <c r="J66" t="str">
        <f t="shared" si="0"/>
        <v>Troca</v>
      </c>
    </row>
    <row r="67" spans="2:10" x14ac:dyDescent="0.25">
      <c r="B67" t="s">
        <v>342</v>
      </c>
      <c r="C67" t="s">
        <v>343</v>
      </c>
      <c r="D67" t="s">
        <v>423</v>
      </c>
      <c r="E67">
        <v>1193047233</v>
      </c>
      <c r="F67">
        <v>0.17799999999999999</v>
      </c>
      <c r="H67" t="str">
        <f>dados!B70</f>
        <v>SBSP3</v>
      </c>
      <c r="J67" t="str">
        <f t="shared" si="0"/>
        <v>Troca</v>
      </c>
    </row>
    <row r="68" spans="2:10" x14ac:dyDescent="0.25">
      <c r="B68" t="s">
        <v>345</v>
      </c>
      <c r="C68" t="s">
        <v>346</v>
      </c>
      <c r="D68" t="s">
        <v>142</v>
      </c>
      <c r="E68">
        <v>1168230366</v>
      </c>
      <c r="F68">
        <v>1.462</v>
      </c>
      <c r="H68" t="str">
        <f>dados!B71</f>
        <v>SANB11</v>
      </c>
      <c r="J68" t="str">
        <f t="shared" ref="J68:J90" si="1">IF(H68=B68,"ok","Troca")</f>
        <v>Troca</v>
      </c>
    </row>
    <row r="69" spans="2:10" x14ac:dyDescent="0.25">
      <c r="B69" t="s">
        <v>321</v>
      </c>
      <c r="C69" t="s">
        <v>348</v>
      </c>
      <c r="D69" t="s">
        <v>130</v>
      </c>
      <c r="E69">
        <v>1218352541</v>
      </c>
      <c r="F69">
        <v>1.1819999999999999</v>
      </c>
      <c r="H69" t="str">
        <f>dados!B72</f>
        <v>CSNA3</v>
      </c>
      <c r="J69" t="str">
        <f t="shared" si="1"/>
        <v>Troca</v>
      </c>
    </row>
    <row r="70" spans="2:10" x14ac:dyDescent="0.25">
      <c r="B70" t="s">
        <v>351</v>
      </c>
      <c r="C70" t="s">
        <v>352</v>
      </c>
      <c r="D70" t="s">
        <v>442</v>
      </c>
      <c r="E70">
        <v>340001799</v>
      </c>
      <c r="F70">
        <v>1.29</v>
      </c>
      <c r="H70" t="str">
        <f>dados!B73</f>
        <v>SLCE3</v>
      </c>
      <c r="J70" t="str">
        <f t="shared" si="1"/>
        <v>Troca</v>
      </c>
    </row>
    <row r="71" spans="2:10" x14ac:dyDescent="0.25">
      <c r="B71" t="s">
        <v>354</v>
      </c>
      <c r="C71" t="s">
        <v>355</v>
      </c>
      <c r="D71" t="s">
        <v>356</v>
      </c>
      <c r="E71">
        <v>342918449</v>
      </c>
      <c r="F71">
        <v>0.48</v>
      </c>
      <c r="H71" t="str">
        <f>dados!B74</f>
        <v>SMFT3</v>
      </c>
      <c r="J71" t="str">
        <f t="shared" si="1"/>
        <v>Troca</v>
      </c>
    </row>
    <row r="72" spans="2:10" x14ac:dyDescent="0.25">
      <c r="B72" t="s">
        <v>340</v>
      </c>
      <c r="C72" t="s">
        <v>361</v>
      </c>
      <c r="D72" t="s">
        <v>142</v>
      </c>
      <c r="E72">
        <v>142377330</v>
      </c>
      <c r="F72">
        <v>0.191</v>
      </c>
      <c r="H72" t="str">
        <f>dados!B75</f>
        <v>SUZB3</v>
      </c>
      <c r="J72" t="str">
        <f t="shared" si="1"/>
        <v>Troca</v>
      </c>
    </row>
    <row r="73" spans="2:10" x14ac:dyDescent="0.25">
      <c r="B73" t="s">
        <v>152</v>
      </c>
      <c r="C73" t="s">
        <v>364</v>
      </c>
      <c r="D73" t="s">
        <v>135</v>
      </c>
      <c r="E73">
        <v>600865451</v>
      </c>
      <c r="F73">
        <v>0.39800000000000002</v>
      </c>
      <c r="H73" t="str">
        <f>dados!B76</f>
        <v>TAEE11</v>
      </c>
      <c r="J73" t="str">
        <f t="shared" si="1"/>
        <v>Troca</v>
      </c>
    </row>
    <row r="74" spans="2:10" x14ac:dyDescent="0.25">
      <c r="B74" t="s">
        <v>367</v>
      </c>
      <c r="C74" t="s">
        <v>368</v>
      </c>
      <c r="D74" t="s">
        <v>130</v>
      </c>
      <c r="E74">
        <v>195751130</v>
      </c>
      <c r="F74">
        <v>0.16800000000000001</v>
      </c>
      <c r="H74" t="str">
        <f>dados!B77</f>
        <v>VIVT3</v>
      </c>
      <c r="J74" t="str">
        <f t="shared" si="1"/>
        <v>Troca</v>
      </c>
    </row>
    <row r="75" spans="2:10" x14ac:dyDescent="0.25">
      <c r="B75" t="s">
        <v>211</v>
      </c>
      <c r="C75" t="s">
        <v>375</v>
      </c>
      <c r="D75" t="s">
        <v>142</v>
      </c>
      <c r="E75">
        <v>683452836</v>
      </c>
      <c r="F75">
        <v>1.9059999999999999</v>
      </c>
      <c r="H75" t="str">
        <f>dados!B78</f>
        <v>TIMS3</v>
      </c>
      <c r="J75" t="str">
        <f t="shared" si="1"/>
        <v>Troca</v>
      </c>
    </row>
    <row r="76" spans="2:10" x14ac:dyDescent="0.25">
      <c r="B76" t="s">
        <v>377</v>
      </c>
      <c r="C76" t="s">
        <v>378</v>
      </c>
      <c r="D76" t="s">
        <v>192</v>
      </c>
      <c r="E76">
        <v>218568234</v>
      </c>
      <c r="F76">
        <v>0.374</v>
      </c>
      <c r="H76" t="str">
        <f>dados!B79</f>
        <v>TOTS3</v>
      </c>
      <c r="J76" t="str">
        <f t="shared" si="1"/>
        <v>Troca</v>
      </c>
    </row>
    <row r="77" spans="2:10" x14ac:dyDescent="0.25">
      <c r="B77" t="s">
        <v>148</v>
      </c>
      <c r="C77" t="s">
        <v>381</v>
      </c>
      <c r="D77" t="s">
        <v>382</v>
      </c>
      <c r="E77">
        <v>423091712</v>
      </c>
      <c r="F77">
        <v>0.99299999999999999</v>
      </c>
      <c r="H77" t="str">
        <f>dados!B80</f>
        <v>UGPA3</v>
      </c>
      <c r="J77" t="str">
        <f t="shared" si="1"/>
        <v>Troca</v>
      </c>
    </row>
    <row r="78" spans="2:10" x14ac:dyDescent="0.25">
      <c r="B78" t="s">
        <v>384</v>
      </c>
      <c r="C78" t="s">
        <v>385</v>
      </c>
      <c r="D78" t="s">
        <v>142</v>
      </c>
      <c r="E78">
        <v>807896814</v>
      </c>
      <c r="F78">
        <v>0.69299999999999995</v>
      </c>
      <c r="H78" t="str">
        <f>dados!B81</f>
        <v>USIM5</v>
      </c>
      <c r="J78" t="str">
        <f t="shared" si="1"/>
        <v>Troca</v>
      </c>
    </row>
    <row r="79" spans="2:10" x14ac:dyDescent="0.25">
      <c r="B79" t="s">
        <v>388</v>
      </c>
      <c r="C79" t="s">
        <v>389</v>
      </c>
      <c r="D79" t="s">
        <v>142</v>
      </c>
      <c r="E79">
        <v>514122351</v>
      </c>
      <c r="F79">
        <v>0.67400000000000004</v>
      </c>
      <c r="H79" t="str">
        <f>dados!B82</f>
        <v>VALE3</v>
      </c>
      <c r="J79" t="str">
        <f t="shared" si="1"/>
        <v>Troca</v>
      </c>
    </row>
    <row r="80" spans="2:10" x14ac:dyDescent="0.25">
      <c r="B80" t="s">
        <v>448</v>
      </c>
      <c r="C80" t="s">
        <v>449</v>
      </c>
      <c r="D80" t="s">
        <v>167</v>
      </c>
      <c r="E80">
        <v>395801044</v>
      </c>
      <c r="F80">
        <v>0.48099999999999998</v>
      </c>
      <c r="H80" t="str">
        <f>dados!B83</f>
        <v>VAMO3</v>
      </c>
      <c r="J80" t="str">
        <f t="shared" si="1"/>
        <v>Troca</v>
      </c>
    </row>
    <row r="81" spans="2:10" x14ac:dyDescent="0.25">
      <c r="B81" t="s">
        <v>392</v>
      </c>
      <c r="C81" t="s">
        <v>393</v>
      </c>
      <c r="D81" t="s">
        <v>142</v>
      </c>
      <c r="E81">
        <v>1086411192</v>
      </c>
      <c r="F81">
        <v>1.353</v>
      </c>
      <c r="H81" t="str">
        <f>dados!B84</f>
        <v>VBBR3</v>
      </c>
      <c r="J81" t="str">
        <f t="shared" si="1"/>
        <v>Troca</v>
      </c>
    </row>
    <row r="82" spans="2:10" x14ac:dyDescent="0.25">
      <c r="B82" t="s">
        <v>225</v>
      </c>
      <c r="C82" t="s">
        <v>395</v>
      </c>
      <c r="D82" t="s">
        <v>450</v>
      </c>
      <c r="E82">
        <v>515117391</v>
      </c>
      <c r="F82">
        <v>0.19400000000000001</v>
      </c>
      <c r="H82" t="str">
        <f>dados!B85</f>
        <v>VIVA3</v>
      </c>
      <c r="J82" t="str">
        <f t="shared" si="1"/>
        <v>Troca</v>
      </c>
    </row>
    <row r="83" spans="2:10" x14ac:dyDescent="0.25">
      <c r="B83" t="s">
        <v>159</v>
      </c>
      <c r="C83" t="s">
        <v>398</v>
      </c>
      <c r="D83" t="s">
        <v>142</v>
      </c>
      <c r="E83">
        <v>4196924316</v>
      </c>
      <c r="F83">
        <v>12.68</v>
      </c>
      <c r="H83" t="str">
        <f>dados!B86</f>
        <v>WEGE3</v>
      </c>
      <c r="J83" t="str">
        <f t="shared" si="1"/>
        <v>Troca</v>
      </c>
    </row>
    <row r="84" spans="2:10" x14ac:dyDescent="0.25">
      <c r="B84" t="s">
        <v>365</v>
      </c>
      <c r="C84" t="s">
        <v>401</v>
      </c>
      <c r="D84" t="s">
        <v>142</v>
      </c>
      <c r="E84">
        <v>421383330</v>
      </c>
      <c r="F84">
        <v>0.14399999999999999</v>
      </c>
      <c r="H84" t="str">
        <f>dados!B87</f>
        <v>YDUQ3</v>
      </c>
      <c r="J84" t="str">
        <f t="shared" si="1"/>
        <v>Troca</v>
      </c>
    </row>
    <row r="85" spans="2:10" x14ac:dyDescent="0.25">
      <c r="B85" t="s">
        <v>404</v>
      </c>
      <c r="C85" t="s">
        <v>405</v>
      </c>
      <c r="D85" t="s">
        <v>142</v>
      </c>
      <c r="E85">
        <v>1114412532</v>
      </c>
      <c r="F85">
        <v>1.228</v>
      </c>
      <c r="H85" t="str">
        <f>dados!B88</f>
        <v>Quantidade Teórica Total</v>
      </c>
      <c r="J85" t="str">
        <f t="shared" si="1"/>
        <v>Troca</v>
      </c>
    </row>
    <row r="86" spans="2:10" x14ac:dyDescent="0.25">
      <c r="B86" t="s">
        <v>408</v>
      </c>
      <c r="C86" t="s">
        <v>409</v>
      </c>
      <c r="D86" t="s">
        <v>142</v>
      </c>
      <c r="E86">
        <v>1481593024</v>
      </c>
      <c r="F86">
        <v>2.7210000000000001</v>
      </c>
      <c r="H86" t="str">
        <f>dados!B89</f>
        <v>Redutor</v>
      </c>
      <c r="J86" t="str">
        <f t="shared" si="1"/>
        <v>Troca</v>
      </c>
    </row>
    <row r="87" spans="2:10" x14ac:dyDescent="0.25">
      <c r="B87" t="s">
        <v>410</v>
      </c>
      <c r="C87" t="s">
        <v>411</v>
      </c>
      <c r="D87" t="s">
        <v>130</v>
      </c>
      <c r="E87">
        <v>289347914</v>
      </c>
      <c r="F87">
        <v>0.20699999999999999</v>
      </c>
      <c r="H87">
        <f>dados!B90</f>
        <v>0</v>
      </c>
      <c r="J87" t="str">
        <f t="shared" si="1"/>
        <v>Troca</v>
      </c>
    </row>
    <row r="88" spans="2:10" x14ac:dyDescent="0.25">
      <c r="B88" t="s">
        <v>412</v>
      </c>
      <c r="E88">
        <v>98702477062</v>
      </c>
      <c r="F88">
        <v>100</v>
      </c>
      <c r="H88">
        <f>dados!B91</f>
        <v>0</v>
      </c>
      <c r="J88" t="str">
        <f t="shared" si="1"/>
        <v>Troca</v>
      </c>
    </row>
    <row r="89" spans="2:10" x14ac:dyDescent="0.25">
      <c r="B89" t="s">
        <v>413</v>
      </c>
      <c r="E89">
        <v>16642764.48</v>
      </c>
      <c r="H89">
        <f>dados!B92</f>
        <v>0</v>
      </c>
      <c r="J89" t="str">
        <f t="shared" si="1"/>
        <v>Troca</v>
      </c>
    </row>
    <row r="90" spans="2:10" x14ac:dyDescent="0.25">
      <c r="H90">
        <f>dados!B93</f>
        <v>0</v>
      </c>
      <c r="J90" t="str">
        <f t="shared" si="1"/>
        <v>ok</v>
      </c>
    </row>
    <row r="91" spans="2:10" x14ac:dyDescent="0.25">
      <c r="H91">
        <f>dados!B94</f>
        <v>0</v>
      </c>
    </row>
    <row r="92" spans="2:10" x14ac:dyDescent="0.25">
      <c r="H92">
        <f>dados!B95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ACEB-DDEC-4C5B-BF67-319D635A0F75}">
  <dimension ref="C3:BA83"/>
  <sheetViews>
    <sheetView workbookViewId="0">
      <selection activeCell="L4" sqref="L4"/>
    </sheetView>
  </sheetViews>
  <sheetFormatPr defaultRowHeight="15" x14ac:dyDescent="0.25"/>
  <sheetData>
    <row r="3" spans="3:53" x14ac:dyDescent="0.25">
      <c r="C3" t="s">
        <v>77</v>
      </c>
      <c r="D3" t="s">
        <v>78</v>
      </c>
      <c r="E3" t="s">
        <v>79</v>
      </c>
      <c r="F3" t="s">
        <v>80</v>
      </c>
      <c r="G3" t="s">
        <v>81</v>
      </c>
      <c r="H3" t="s">
        <v>82</v>
      </c>
      <c r="I3" t="s">
        <v>83</v>
      </c>
      <c r="J3" t="s">
        <v>84</v>
      </c>
      <c r="K3" t="s">
        <v>85</v>
      </c>
      <c r="L3" t="s">
        <v>86</v>
      </c>
      <c r="M3" t="s">
        <v>87</v>
      </c>
      <c r="N3" t="s">
        <v>88</v>
      </c>
      <c r="O3" t="s">
        <v>89</v>
      </c>
      <c r="P3" t="s">
        <v>90</v>
      </c>
      <c r="Q3" t="s">
        <v>91</v>
      </c>
      <c r="R3" t="s">
        <v>92</v>
      </c>
      <c r="S3" t="s">
        <v>93</v>
      </c>
      <c r="T3" t="s">
        <v>94</v>
      </c>
      <c r="U3" t="s">
        <v>95</v>
      </c>
      <c r="V3" t="s">
        <v>96</v>
      </c>
      <c r="W3" t="s">
        <v>97</v>
      </c>
      <c r="X3" t="s">
        <v>98</v>
      </c>
      <c r="Y3" t="s">
        <v>99</v>
      </c>
      <c r="Z3" t="s">
        <v>100</v>
      </c>
      <c r="AA3" t="s">
        <v>101</v>
      </c>
      <c r="AB3" t="s">
        <v>102</v>
      </c>
      <c r="AC3" t="s">
        <v>103</v>
      </c>
      <c r="AD3" t="s">
        <v>104</v>
      </c>
      <c r="AE3" t="s">
        <v>105</v>
      </c>
      <c r="AF3" t="s">
        <v>106</v>
      </c>
      <c r="AG3" t="s">
        <v>107</v>
      </c>
      <c r="AH3" t="s">
        <v>108</v>
      </c>
      <c r="AI3" t="s">
        <v>109</v>
      </c>
      <c r="AJ3" t="s">
        <v>110</v>
      </c>
      <c r="AK3" t="s">
        <v>111</v>
      </c>
      <c r="AL3" t="s">
        <v>112</v>
      </c>
      <c r="AM3" t="s">
        <v>113</v>
      </c>
      <c r="AN3" t="s">
        <v>114</v>
      </c>
      <c r="AO3" t="s">
        <v>115</v>
      </c>
      <c r="AP3" t="s">
        <v>116</v>
      </c>
      <c r="AQ3" t="s">
        <v>117</v>
      </c>
      <c r="AR3" t="s">
        <v>118</v>
      </c>
      <c r="AS3" t="s">
        <v>119</v>
      </c>
      <c r="AT3" t="s">
        <v>120</v>
      </c>
      <c r="AU3" t="s">
        <v>121</v>
      </c>
      <c r="AV3" t="s">
        <v>122</v>
      </c>
      <c r="AW3" t="s">
        <v>123</v>
      </c>
      <c r="AX3" t="s">
        <v>124</v>
      </c>
      <c r="AY3" t="s">
        <v>125</v>
      </c>
      <c r="AZ3" t="s">
        <v>126</v>
      </c>
      <c r="BA3" t="s">
        <v>127</v>
      </c>
    </row>
    <row r="4" spans="3:53" x14ac:dyDescent="0.25">
      <c r="C4" t="s">
        <v>2</v>
      </c>
      <c r="D4" t="str">
        <f>RTD("rtdtrading.rtdserver",, "IBOV_B_0", "DAT")</f>
        <v>14/10/2025</v>
      </c>
      <c r="E4" t="str">
        <f>RTD("rtdtrading.rtdserver",, "IBOV_B_0", "HOR")</f>
        <v>17:22:00</v>
      </c>
      <c r="F4">
        <f>RTD("rtdtrading.rtdserver",, "IBOV_B_0", "ULT")</f>
        <v>141682.99000000002</v>
      </c>
      <c r="G4">
        <f>RTD("rtdtrading.rtdserver",, "IBOV_B_0", "ABE")</f>
        <v>141788.35</v>
      </c>
      <c r="H4">
        <f>RTD("rtdtrading.rtdserver",, "IBOV_B_0", "MAX")</f>
        <v>142588.97</v>
      </c>
      <c r="I4">
        <f>RTD("rtdtrading.rtdserver",, "IBOV_B_0", "MIN")</f>
        <v>141334.32</v>
      </c>
      <c r="J4">
        <f>RTD("rtdtrading.rtdserver",, "IBOV_B_0", "FEC")</f>
        <v>141783.36000000002</v>
      </c>
      <c r="K4">
        <f>RTD("rtdtrading.rtdserver",, "IBOV_B_0", "PEX")</f>
        <v>0</v>
      </c>
      <c r="L4">
        <f>RTD("rtdtrading.rtdserver",, "IBOV_B_0", "VAR")</f>
        <v>-7.0791099886471393E-2</v>
      </c>
      <c r="M4">
        <f>RTD("rtdtrading.rtdserver",, "IBOV_B_0", "VARPTS")</f>
        <v>-100.36999999999534</v>
      </c>
      <c r="N4">
        <f>RTD("rtdtrading.rtdserver",, "IBOV_B_0", "MED")</f>
        <v>141848.6575</v>
      </c>
      <c r="O4" t="s">
        <v>132</v>
      </c>
      <c r="P4">
        <f>RTD("rtdtrading.rtdserver",, "IBOV_B_0", "NEG")</f>
        <v>1070854</v>
      </c>
      <c r="Q4">
        <f>RTD("rtdtrading.rtdserver",, "IBOV_B_0", "QUL")</f>
        <v>0</v>
      </c>
      <c r="R4">
        <f>RTD("rtdtrading.rtdserver",, "IBOV_B_0", "QTT")</f>
        <v>712225900</v>
      </c>
      <c r="S4">
        <f>RTD("rtdtrading.rtdserver",, "IBOV_B_0", "VOL")</f>
        <v>14402550000</v>
      </c>
      <c r="T4">
        <f>RTD("rtdtrading.rtdserver",, "IBOV_B_0", "OCP")</f>
        <v>0</v>
      </c>
      <c r="U4">
        <f>RTD("rtdtrading.rtdserver",, "IBOV_B_0", "OVD")</f>
        <v>0</v>
      </c>
      <c r="V4">
        <f>RTD("rtdtrading.rtdserver",, "IBOV_B_0", "VOC")</f>
        <v>0</v>
      </c>
      <c r="W4">
        <f>RTD("rtdtrading.rtdserver",, "IBOV_B_0", "VOV")</f>
        <v>0</v>
      </c>
      <c r="X4">
        <f>RTD("rtdtrading.rtdserver",, "IBOV_B_0", "AJU")</f>
        <v>141975</v>
      </c>
      <c r="Y4">
        <f>RTD("rtdtrading.rtdserver",, "IBOV_B_0", "AJA")</f>
        <v>141995</v>
      </c>
      <c r="Z4">
        <f>RTD("rtdtrading.rtdserver",, "IBOV_B_0", "PRT")</f>
        <v>0</v>
      </c>
      <c r="AA4">
        <f>RTD("rtdtrading.rtdserver",, "IBOV_B_0", "QTE")</f>
        <v>0</v>
      </c>
      <c r="AB4">
        <f>RTD("rtdtrading.rtdserver",, "IBOV_B_0", "VPJ")</f>
        <v>14402550000</v>
      </c>
      <c r="AC4">
        <f>RTD("rtdtrading.rtdserver",, "IBOV_B_0", "SEM")</f>
        <v>0.71271508158142305</v>
      </c>
      <c r="AD4">
        <f>RTD("rtdtrading.rtdserver",, "IBOV_B_0", "MES")</f>
        <v>-3.1141430535168166</v>
      </c>
      <c r="AE4">
        <f>RTD("rtdtrading.rtdserver",, "IBOV_B_0", "3M")</f>
        <v>4.7184387703115886</v>
      </c>
      <c r="AF4">
        <f>RTD("rtdtrading.rtdserver",, "IBOV_B_0", "6M")</f>
        <v>10.96516826124823</v>
      </c>
      <c r="AG4">
        <f>RTD("rtdtrading.rtdserver",, "IBOV_B_0", "12M")</f>
        <v>8.9933795304321595</v>
      </c>
      <c r="AH4">
        <f>RTD("rtdtrading.rtdserver",, "IBOV_B_0", "ANO")</f>
        <v>17.790975313301761</v>
      </c>
      <c r="AI4">
        <f>RTD("rtdtrading.rtdserver",, "IBOV_B_0", "TRIM")</f>
        <v>-3.1141430535168166</v>
      </c>
      <c r="AJ4">
        <f>RTD("rtdtrading.rtdserver",, "IBOV_B_0", "SEMES")</f>
        <v>2.0369436806558903</v>
      </c>
      <c r="AK4" t="str">
        <f>RTD("rtdtrading.rtdserver",, "IBOV_B_0", "VEN")</f>
        <v>01/01/9999</v>
      </c>
      <c r="AL4" t="str">
        <f>RTD("rtdtrading.rtdserver",, "IBOV_B_0", "VAL")</f>
        <v>31/12/9999</v>
      </c>
      <c r="AM4">
        <f>RTD("rtdtrading.rtdserver",, "IBOV_B_0", "CAB")</f>
        <v>0</v>
      </c>
      <c r="AN4" t="str">
        <f>RTD("rtdtrading.rtdserver",, "IBOV_B_0", "EST")</f>
        <v>Fechado</v>
      </c>
      <c r="AO4" t="str">
        <f>RTD("rtdtrading.rtdserver",, "IBOV_B_0", "BLACK")</f>
        <v>-</v>
      </c>
      <c r="AP4" t="str">
        <f>RTD("rtdtrading.rtdserver",, "IBOV_B_0", "IMPVT")</f>
        <v>-</v>
      </c>
      <c r="AQ4" t="str">
        <f>RTD("rtdtrading.rtdserver",, "IBOV_B_0", "DELTA")</f>
        <v>-</v>
      </c>
      <c r="AR4" t="str">
        <f>RTD("rtdtrading.rtdserver",, "IBOV_B_0", "GAMA")</f>
        <v>-</v>
      </c>
      <c r="AS4" t="str">
        <f>RTD("rtdtrading.rtdserver",, "IBOV_B_0", "THETA")</f>
        <v>-</v>
      </c>
      <c r="AT4" t="str">
        <f>RTD("rtdtrading.rtdserver",, "IBOV_B_0", "RHO")</f>
        <v>-</v>
      </c>
      <c r="AU4" t="str">
        <f>RTD("rtdtrading.rtdserver",, "IBOV_B_0", "VEGA")</f>
        <v>-</v>
      </c>
      <c r="AV4" t="str">
        <f>RTD("rtdtrading.rtdserver",, "IBOV_B_0", "VIA")</f>
        <v>-</v>
      </c>
      <c r="AW4" t="str">
        <f>RTD("rtdtrading.rtdserver",, "IBOV_B_0", "VIB")</f>
        <v>-</v>
      </c>
      <c r="AX4" t="str">
        <f>RTD("rtdtrading.rtdserver",, "IBOV_B_0", "DOBRAR")</f>
        <v>-</v>
      </c>
      <c r="AY4" t="str">
        <f>RTD("rtdtrading.rtdserver",, "IBOV_B_0", "VIVH")</f>
        <v>-</v>
      </c>
      <c r="AZ4" t="str">
        <f>RTD("rtdtrading.rtdserver",, "IBOV_B_0", "VINT")</f>
        <v>-</v>
      </c>
      <c r="BA4" t="str">
        <f>RTD("rtdtrading.rtdserver",, "IBOV_B_0", "VEXT")</f>
        <v>-</v>
      </c>
    </row>
    <row r="5" spans="3:53" x14ac:dyDescent="0.25">
      <c r="C5" t="s">
        <v>138</v>
      </c>
      <c r="D5" t="str">
        <f>RTD("rtdtrading.rtdserver",, "ECOR3_B_0", "DAT")</f>
        <v>14/10/2025</v>
      </c>
      <c r="E5" t="str">
        <f>RTD("rtdtrading.rtdserver",, "ECOR3_B_0", "HOR")</f>
        <v>17:56:35</v>
      </c>
      <c r="F5">
        <f>RTD("rtdtrading.rtdserver",, "ECOR3_B_0", "ULT")</f>
        <v>7.4300000000000006</v>
      </c>
      <c r="G5">
        <f>RTD("rtdtrading.rtdserver",, "ECOR3_B_0", "ABE")</f>
        <v>7.47</v>
      </c>
      <c r="H5">
        <f>RTD("rtdtrading.rtdserver",, "ECOR3_B_0", "MAX")</f>
        <v>7.57</v>
      </c>
      <c r="I5">
        <f>RTD("rtdtrading.rtdserver",, "ECOR3_B_0", "MIN")</f>
        <v>7.42</v>
      </c>
      <c r="J5">
        <f>RTD("rtdtrading.rtdserver",, "ECOR3_B_0", "FEC")</f>
        <v>7.49</v>
      </c>
      <c r="K5">
        <f>RTD("rtdtrading.rtdserver",, "ECOR3_B_0", "PEX")</f>
        <v>0</v>
      </c>
      <c r="L5">
        <f>RTD("rtdtrading.rtdserver",, "ECOR3_B_0", "VAR")</f>
        <v>-0.80106809078771168</v>
      </c>
      <c r="M5">
        <f>RTD("rtdtrading.rtdserver",, "ECOR3_B_0", "VARPTS")</f>
        <v>-5.9999999999999609E-2</v>
      </c>
      <c r="N5">
        <f>RTD("rtdtrading.rtdserver",, "ECOR3_B_0", "MED")</f>
        <v>7.4827686907162594</v>
      </c>
      <c r="O5" t="s">
        <v>139</v>
      </c>
      <c r="P5">
        <f>RTD("rtdtrading.rtdserver",, "ECOR3_B_0", "NEG")</f>
        <v>2656</v>
      </c>
      <c r="Q5">
        <f>RTD("rtdtrading.rtdserver",, "ECOR3_B_0", "QUL")</f>
        <v>0</v>
      </c>
      <c r="R5">
        <f>RTD("rtdtrading.rtdserver",, "ECOR3_B_0", "QTT")</f>
        <v>1338900</v>
      </c>
      <c r="S5">
        <f>RTD("rtdtrading.rtdserver",, "ECOR3_B_0", "VOL")</f>
        <v>10018679</v>
      </c>
      <c r="T5">
        <f>RTD("rtdtrading.rtdserver",, "ECOR3_B_0", "OCP")</f>
        <v>7.36</v>
      </c>
      <c r="U5">
        <f>RTD("rtdtrading.rtdserver",, "ECOR3_B_0", "OVD")</f>
        <v>7.6000000000000005</v>
      </c>
      <c r="V5">
        <f>RTD("rtdtrading.rtdserver",, "ECOR3_B_0", "VOC")</f>
        <v>1000</v>
      </c>
      <c r="W5">
        <f>RTD("rtdtrading.rtdserver",, "ECOR3_B_0", "VOV")</f>
        <v>1600</v>
      </c>
      <c r="X5">
        <f>RTD("rtdtrading.rtdserver",, "ECOR3_B_0", "AJU")</f>
        <v>0</v>
      </c>
      <c r="Y5">
        <f>RTD("rtdtrading.rtdserver",, "ECOR3_B_0", "AJA")</f>
        <v>0</v>
      </c>
      <c r="Z5">
        <f>RTD("rtdtrading.rtdserver",, "ECOR3_B_0", "PRT")</f>
        <v>0</v>
      </c>
      <c r="AA5">
        <f>RTD("rtdtrading.rtdserver",, "ECOR3_B_0", "QTE")</f>
        <v>0</v>
      </c>
      <c r="AB5">
        <f>RTD("rtdtrading.rtdserver",, "ECOR3_B_0", "VPJ")</f>
        <v>10018679</v>
      </c>
      <c r="AC5">
        <f>RTD("rtdtrading.rtdserver",, "ECOR3_B_0", "SEM")</f>
        <v>0.54127198917456065</v>
      </c>
      <c r="AD5">
        <f>RTD("rtdtrading.rtdserver",, "ECOR3_B_0", "MES")</f>
        <v>-5.1085568326947568</v>
      </c>
      <c r="AE5">
        <f>RTD("rtdtrading.rtdserver",, "ECOR3_B_0", "3M")</f>
        <v>13.058827109772055</v>
      </c>
      <c r="AF5">
        <f>RTD("rtdtrading.rtdserver",, "ECOR3_B_0", "6M")</f>
        <v>28.14542695020782</v>
      </c>
      <c r="AG5">
        <f>RTD("rtdtrading.rtdserver",, "ECOR3_B_0", "12M")</f>
        <v>9.2486399058961979</v>
      </c>
      <c r="AH5">
        <f>RTD("rtdtrading.rtdserver",, "ECOR3_B_0", "ANO")</f>
        <v>83.456790123456813</v>
      </c>
      <c r="AI5">
        <f>RTD("rtdtrading.rtdserver",, "ECOR3_B_0", "TRIM")</f>
        <v>-5.1085568326947568</v>
      </c>
      <c r="AJ5">
        <f>RTD("rtdtrading.rtdserver",, "ECOR3_B_0", "SEMES")</f>
        <v>3.8521748853852151</v>
      </c>
      <c r="AK5" t="str">
        <f>RTD("rtdtrading.rtdserver",, "ECOR3_B_0", "VEN")</f>
        <v>-</v>
      </c>
      <c r="AL5" t="str">
        <f>RTD("rtdtrading.rtdserver",, "ECOR3_B_0", "VAL")</f>
        <v>31/12/9999</v>
      </c>
      <c r="AM5">
        <f>RTD("rtdtrading.rtdserver",, "ECOR3_B_0", "CAB")</f>
        <v>0</v>
      </c>
      <c r="AN5" t="str">
        <f>RTD("rtdtrading.rtdserver",, "ECOR3_B_0", "EST")</f>
        <v>Pré-Fechamento</v>
      </c>
      <c r="AO5" t="str">
        <f>RTD("rtdtrading.rtdserver",, "ECOR3_B_0", "BLACK")</f>
        <v>-</v>
      </c>
      <c r="AP5" t="str">
        <f>RTD("rtdtrading.rtdserver",, "ECOR3_B_0", "IMPVT")</f>
        <v>-</v>
      </c>
      <c r="AQ5" t="str">
        <f>RTD("rtdtrading.rtdserver",, "ECOR3_B_0", "DELTA")</f>
        <v>-</v>
      </c>
      <c r="AR5" t="str">
        <f>RTD("rtdtrading.rtdserver",, "ECOR3_B_0", "GAMA")</f>
        <v>-</v>
      </c>
      <c r="AS5" t="str">
        <f>RTD("rtdtrading.rtdserver",, "ECOR3_B_0", "THETA")</f>
        <v>-</v>
      </c>
      <c r="AT5" t="str">
        <f>RTD("rtdtrading.rtdserver",, "ECOR3_B_0", "RHO")</f>
        <v>-</v>
      </c>
      <c r="AU5" t="str">
        <f>RTD("rtdtrading.rtdserver",, "ECOR3_B_0", "VEGA")</f>
        <v>-</v>
      </c>
      <c r="AV5" t="str">
        <f>RTD("rtdtrading.rtdserver",, "ECOR3_B_0", "VIA")</f>
        <v>-</v>
      </c>
      <c r="AW5" t="str">
        <f>RTD("rtdtrading.rtdserver",, "ECOR3_B_0", "VIB")</f>
        <v>-</v>
      </c>
      <c r="AX5" t="str">
        <f>RTD("rtdtrading.rtdserver",, "ECOR3_B_0", "DOBRAR")</f>
        <v>-</v>
      </c>
      <c r="AY5" t="str">
        <f>RTD("rtdtrading.rtdserver",, "ECOR3_B_0", "VIVH")</f>
        <v>-</v>
      </c>
      <c r="AZ5" t="str">
        <f>RTD("rtdtrading.rtdserver",, "ECOR3_B_0", "VINT")</f>
        <v>-</v>
      </c>
      <c r="BA5" t="str">
        <f>RTD("rtdtrading.rtdserver",, "ECOR3_B_0", "VEXT")</f>
        <v>-</v>
      </c>
    </row>
    <row r="6" spans="3:53" x14ac:dyDescent="0.25">
      <c r="C6" t="s">
        <v>144</v>
      </c>
      <c r="D6" t="str">
        <f>RTD("rtdtrading.rtdserver",, "CIEL3_B_0", "DAT")</f>
        <v>30/12/1899</v>
      </c>
      <c r="E6" t="str">
        <f>RTD("rtdtrading.rtdserver",, "CIEL3_B_0", "HOR")</f>
        <v>00:00:00</v>
      </c>
      <c r="F6">
        <f>RTD("rtdtrading.rtdserver",, "CIEL3_B_0", "ULT")</f>
        <v>0</v>
      </c>
      <c r="G6">
        <f>RTD("rtdtrading.rtdserver",, "CIEL3_B_0", "ABE")</f>
        <v>0</v>
      </c>
      <c r="H6">
        <f>RTD("rtdtrading.rtdserver",, "CIEL3_B_0", "MAX")</f>
        <v>0</v>
      </c>
      <c r="I6">
        <f>RTD("rtdtrading.rtdserver",, "CIEL3_B_0", "MIN")</f>
        <v>0</v>
      </c>
      <c r="J6">
        <f>RTD("rtdtrading.rtdserver",, "CIEL3_B_0", "FEC")</f>
        <v>0</v>
      </c>
      <c r="K6">
        <f>RTD("rtdtrading.rtdserver",, "CIEL3_B_0", "PEX")</f>
        <v>0</v>
      </c>
      <c r="L6">
        <f>RTD("rtdtrading.rtdserver",, "CIEL3_B_0", "VAR")</f>
        <v>0</v>
      </c>
      <c r="M6">
        <f>RTD("rtdtrading.rtdserver",, "CIEL3_B_0", "VARPTS")</f>
        <v>0</v>
      </c>
      <c r="N6">
        <f>RTD("rtdtrading.rtdserver",, "CIEL3_B_0", "MED")</f>
        <v>0</v>
      </c>
      <c r="O6" t="s">
        <v>451</v>
      </c>
      <c r="P6">
        <f>RTD("rtdtrading.rtdserver",, "CIEL3_B_0", "NEG")</f>
        <v>0</v>
      </c>
      <c r="Q6">
        <f>RTD("rtdtrading.rtdserver",, "CIEL3_B_0", "QUL")</f>
        <v>0</v>
      </c>
      <c r="R6">
        <f>RTD("rtdtrading.rtdserver",, "CIEL3_B_0", "QTT")</f>
        <v>0</v>
      </c>
      <c r="S6">
        <f>RTD("rtdtrading.rtdserver",, "CIEL3_B_0", "VOL")</f>
        <v>0</v>
      </c>
      <c r="T6">
        <f>RTD("rtdtrading.rtdserver",, "CIEL3_B_0", "OCP")</f>
        <v>0</v>
      </c>
      <c r="U6">
        <f>RTD("rtdtrading.rtdserver",, "CIEL3_B_0", "OVD")</f>
        <v>0</v>
      </c>
      <c r="V6">
        <f>RTD("rtdtrading.rtdserver",, "CIEL3_B_0", "VOC")</f>
        <v>0</v>
      </c>
      <c r="W6">
        <f>RTD("rtdtrading.rtdserver",, "CIEL3_B_0", "VOV")</f>
        <v>0</v>
      </c>
      <c r="X6">
        <f>RTD("rtdtrading.rtdserver",, "CIEL3_B_0", "AJU")</f>
        <v>0</v>
      </c>
      <c r="Y6">
        <f>RTD("rtdtrading.rtdserver",, "CIEL3_B_0", "AJA")</f>
        <v>0</v>
      </c>
      <c r="Z6">
        <f>RTD("rtdtrading.rtdserver",, "CIEL3_B_0", "PRT")</f>
        <v>0</v>
      </c>
      <c r="AA6">
        <f>RTD("rtdtrading.rtdserver",, "CIEL3_B_0", "QTE")</f>
        <v>0</v>
      </c>
      <c r="AB6">
        <f>RTD("rtdtrading.rtdserver",, "CIEL3_B_0", "VPJ")</f>
        <v>0</v>
      </c>
      <c r="AC6">
        <f>RTD("rtdtrading.rtdserver",, "CIEL3_B_0", "SEM")</f>
        <v>0</v>
      </c>
      <c r="AD6">
        <f>RTD("rtdtrading.rtdserver",, "CIEL3_B_0", "MES")</f>
        <v>0</v>
      </c>
      <c r="AE6">
        <f>RTD("rtdtrading.rtdserver",, "CIEL3_B_0", "3M")</f>
        <v>0</v>
      </c>
      <c r="AF6">
        <f>RTD("rtdtrading.rtdserver",, "CIEL3_B_0", "6M")</f>
        <v>0</v>
      </c>
      <c r="AG6">
        <f>RTD("rtdtrading.rtdserver",, "CIEL3_B_0", "12M")</f>
        <v>0</v>
      </c>
      <c r="AH6">
        <f>RTD("rtdtrading.rtdserver",, "CIEL3_B_0", "ANO")</f>
        <v>0</v>
      </c>
      <c r="AI6">
        <f>RTD("rtdtrading.rtdserver",, "CIEL3_B_0", "TRIM")</f>
        <v>0</v>
      </c>
      <c r="AJ6">
        <f>RTD("rtdtrading.rtdserver",, "CIEL3_B_0", "SEMES")</f>
        <v>0</v>
      </c>
      <c r="AK6" t="str">
        <f>RTD("rtdtrading.rtdserver",, "CIEL3_B_0", "VEN")</f>
        <v>-</v>
      </c>
      <c r="AL6" t="str">
        <f>RTD("rtdtrading.rtdserver",, "CIEL3_B_0", "VAL")</f>
        <v>31/12/9999</v>
      </c>
      <c r="AM6">
        <f>RTD("rtdtrading.rtdserver",, "CIEL3_B_0", "CAB")</f>
        <v>0</v>
      </c>
      <c r="AN6" t="str">
        <f>RTD("rtdtrading.rtdserver",, "CIEL3_B_0", "EST")</f>
        <v>NONE</v>
      </c>
      <c r="AO6" t="str">
        <f>RTD("rtdtrading.rtdserver",, "CIEL3_B_0", "BLACK")</f>
        <v>-</v>
      </c>
      <c r="AP6" t="str">
        <f>RTD("rtdtrading.rtdserver",, "CIEL3_B_0", "IMPVT")</f>
        <v>-</v>
      </c>
      <c r="AQ6" t="str">
        <f>RTD("rtdtrading.rtdserver",, "CIEL3_B_0", "DELTA")</f>
        <v>-</v>
      </c>
      <c r="AR6" t="str">
        <f>RTD("rtdtrading.rtdserver",, "CIEL3_B_0", "GAMA")</f>
        <v>-</v>
      </c>
      <c r="AS6" t="str">
        <f>RTD("rtdtrading.rtdserver",, "CIEL3_B_0", "THETA")</f>
        <v>-</v>
      </c>
      <c r="AT6" t="str">
        <f>RTD("rtdtrading.rtdserver",, "CIEL3_B_0", "RHO")</f>
        <v>-</v>
      </c>
      <c r="AU6" t="str">
        <f>RTD("rtdtrading.rtdserver",, "CIEL3_B_0", "VEGA")</f>
        <v>-</v>
      </c>
      <c r="AV6" t="str">
        <f>RTD("rtdtrading.rtdserver",, "CIEL3_B_0", "VIA")</f>
        <v>-</v>
      </c>
      <c r="AW6" t="str">
        <f>RTD("rtdtrading.rtdserver",, "CIEL3_B_0", "VIB")</f>
        <v>-</v>
      </c>
      <c r="AX6" t="str">
        <f>RTD("rtdtrading.rtdserver",, "CIEL3_B_0", "DOBRAR")</f>
        <v>-</v>
      </c>
      <c r="AY6" t="str">
        <f>RTD("rtdtrading.rtdserver",, "CIEL3_B_0", "VIVH")</f>
        <v>-</v>
      </c>
      <c r="AZ6" t="str">
        <f>RTD("rtdtrading.rtdserver",, "CIEL3_B_0", "VINT")</f>
        <v>-</v>
      </c>
      <c r="BA6" t="str">
        <f>RTD("rtdtrading.rtdserver",, "CIEL3_B_0", "VEXT")</f>
        <v>-</v>
      </c>
    </row>
    <row r="7" spans="3:53" x14ac:dyDescent="0.25">
      <c r="C7" t="s">
        <v>148</v>
      </c>
      <c r="D7" t="str">
        <f>RTD("rtdtrading.rtdserver",, "VIVT3_B_0", "DAT")</f>
        <v>14/10/2025</v>
      </c>
      <c r="E7" t="str">
        <f>RTD("rtdtrading.rtdserver",, "VIVT3_B_0", "HOR")</f>
        <v>17:07:54</v>
      </c>
      <c r="F7">
        <f>RTD("rtdtrading.rtdserver",, "VIVT3_B_0", "ULT")</f>
        <v>32.29</v>
      </c>
      <c r="G7">
        <f>RTD("rtdtrading.rtdserver",, "VIVT3_B_0", "ABE")</f>
        <v>32.25</v>
      </c>
      <c r="H7">
        <f>RTD("rtdtrading.rtdserver",, "VIVT3_B_0", "MAX")</f>
        <v>32.33</v>
      </c>
      <c r="I7">
        <f>RTD("rtdtrading.rtdserver",, "VIVT3_B_0", "MIN")</f>
        <v>31.95</v>
      </c>
      <c r="J7">
        <f>RTD("rtdtrading.rtdserver",, "VIVT3_B_0", "FEC")</f>
        <v>32.270000000000003</v>
      </c>
      <c r="K7">
        <f>RTD("rtdtrading.rtdserver",, "VIVT3_B_0", "PEX")</f>
        <v>0</v>
      </c>
      <c r="L7">
        <f>RTD("rtdtrading.rtdserver",, "VIVT3_B_0", "VAR")</f>
        <v>6.1977068484648339E-2</v>
      </c>
      <c r="M7">
        <f>RTD("rtdtrading.rtdserver",, "VIVT3_B_0", "VARPTS")</f>
        <v>1.9999999999996021E-2</v>
      </c>
      <c r="N7">
        <f>RTD("rtdtrading.rtdserver",, "VIVT3_B_0", "MED")</f>
        <v>32.20080988500122</v>
      </c>
      <c r="O7" t="s">
        <v>149</v>
      </c>
      <c r="P7">
        <f>RTD("rtdtrading.rtdserver",, "VIVT3_B_0", "NEG")</f>
        <v>8974</v>
      </c>
      <c r="Q7">
        <f>RTD("rtdtrading.rtdserver",, "VIVT3_B_0", "QUL")</f>
        <v>0</v>
      </c>
      <c r="R7">
        <f>RTD("rtdtrading.rtdserver",, "VIVT3_B_0", "QTT")</f>
        <v>3269600</v>
      </c>
      <c r="S7">
        <f>RTD("rtdtrading.rtdserver",, "VIVT3_B_0", "VOL")</f>
        <v>105283768</v>
      </c>
      <c r="T7">
        <f>RTD("rtdtrading.rtdserver",, "VIVT3_B_0", "OCP")</f>
        <v>31.900000000000002</v>
      </c>
      <c r="U7">
        <f>RTD("rtdtrading.rtdserver",, "VIVT3_B_0", "OVD")</f>
        <v>32.5</v>
      </c>
      <c r="V7">
        <f>RTD("rtdtrading.rtdserver",, "VIVT3_B_0", "VOC")</f>
        <v>200</v>
      </c>
      <c r="W7">
        <f>RTD("rtdtrading.rtdserver",, "VIVT3_B_0", "VOV")</f>
        <v>100</v>
      </c>
      <c r="X7">
        <f>RTD("rtdtrading.rtdserver",, "VIVT3_B_0", "AJU")</f>
        <v>0</v>
      </c>
      <c r="Y7">
        <f>RTD("rtdtrading.rtdserver",, "VIVT3_B_0", "AJA")</f>
        <v>0</v>
      </c>
      <c r="Z7">
        <f>RTD("rtdtrading.rtdserver",, "VIVT3_B_0", "PRT")</f>
        <v>0</v>
      </c>
      <c r="AA7">
        <f>RTD("rtdtrading.rtdserver",, "VIVT3_B_0", "QTE")</f>
        <v>0</v>
      </c>
      <c r="AB7">
        <f>RTD("rtdtrading.rtdserver",, "VIVT3_B_0", "VPJ")</f>
        <v>105283768</v>
      </c>
      <c r="AC7">
        <f>RTD("rtdtrading.rtdserver",, "VIVT3_B_0", "SEM")</f>
        <v>-0.21631644004944467</v>
      </c>
      <c r="AD7">
        <f>RTD("rtdtrading.rtdserver",, "VIVT3_B_0", "MES")</f>
        <v>-5.2245377164661022</v>
      </c>
      <c r="AE7">
        <f>RTD("rtdtrading.rtdserver",, "VIVT3_B_0", "3M")</f>
        <v>4.6182357782054391</v>
      </c>
      <c r="AF7">
        <f>RTD("rtdtrading.rtdserver",, "VIVT3_B_0", "6M")</f>
        <v>30.187964165047198</v>
      </c>
      <c r="AG7">
        <f>RTD("rtdtrading.rtdserver",, "VIVT3_B_0", "12M")</f>
        <v>30.022307946299843</v>
      </c>
      <c r="AH7">
        <f>RTD("rtdtrading.rtdserver",, "VIVT3_B_0", "ANO")</f>
        <v>44.528592401618504</v>
      </c>
      <c r="AI7">
        <f>RTD("rtdtrading.rtdserver",, "VIVT3_B_0", "TRIM")</f>
        <v>-5.2245377164661022</v>
      </c>
      <c r="AJ7">
        <f>RTD("rtdtrading.rtdserver",, "VIVT3_B_0", "SEMES")</f>
        <v>5.3631095332567584</v>
      </c>
      <c r="AK7" t="str">
        <f>RTD("rtdtrading.rtdserver",, "VIVT3_B_0", "VEN")</f>
        <v>-</v>
      </c>
      <c r="AL7" t="str">
        <f>RTD("rtdtrading.rtdserver",, "VIVT3_B_0", "VAL")</f>
        <v>31/12/9999</v>
      </c>
      <c r="AM7">
        <f>RTD("rtdtrading.rtdserver",, "VIVT3_B_0", "CAB")</f>
        <v>0</v>
      </c>
      <c r="AN7" t="str">
        <f>RTD("rtdtrading.rtdserver",, "VIVT3_B_0", "EST")</f>
        <v>Pré-Fechamento</v>
      </c>
      <c r="AO7" t="str">
        <f>RTD("rtdtrading.rtdserver",, "VIVT3_B_0", "BLACK")</f>
        <v>-</v>
      </c>
      <c r="AP7" t="str">
        <f>RTD("rtdtrading.rtdserver",, "VIVT3_B_0", "IMPVT")</f>
        <v>-</v>
      </c>
      <c r="AQ7" t="str">
        <f>RTD("rtdtrading.rtdserver",, "VIVT3_B_0", "DELTA")</f>
        <v>-</v>
      </c>
      <c r="AR7" t="str">
        <f>RTD("rtdtrading.rtdserver",, "VIVT3_B_0", "GAMA")</f>
        <v>-</v>
      </c>
      <c r="AS7" t="str">
        <f>RTD("rtdtrading.rtdserver",, "VIVT3_B_0", "THETA")</f>
        <v>-</v>
      </c>
      <c r="AT7" t="str">
        <f>RTD("rtdtrading.rtdserver",, "VIVT3_B_0", "RHO")</f>
        <v>-</v>
      </c>
      <c r="AU7" t="str">
        <f>RTD("rtdtrading.rtdserver",, "VIVT3_B_0", "VEGA")</f>
        <v>-</v>
      </c>
      <c r="AV7" t="str">
        <f>RTD("rtdtrading.rtdserver",, "VIVT3_B_0", "VIA")</f>
        <v>-</v>
      </c>
      <c r="AW7" t="str">
        <f>RTD("rtdtrading.rtdserver",, "VIVT3_B_0", "VIB")</f>
        <v>-</v>
      </c>
      <c r="AX7" t="str">
        <f>RTD("rtdtrading.rtdserver",, "VIVT3_B_0", "DOBRAR")</f>
        <v>-</v>
      </c>
      <c r="AY7" t="str">
        <f>RTD("rtdtrading.rtdserver",, "VIVT3_B_0", "VIVH")</f>
        <v>-</v>
      </c>
      <c r="AZ7" t="str">
        <f>RTD("rtdtrading.rtdserver",, "VIVT3_B_0", "VINT")</f>
        <v>-</v>
      </c>
      <c r="BA7" t="str">
        <f>RTD("rtdtrading.rtdserver",, "VIVT3_B_0", "VEXT")</f>
        <v>-</v>
      </c>
    </row>
    <row r="8" spans="3:53" x14ac:dyDescent="0.25">
      <c r="C8" t="s">
        <v>152</v>
      </c>
      <c r="D8" t="str">
        <f>RTD("rtdtrading.rtdserver",, "CSNA3_B_0", "DAT")</f>
        <v>14/10/2025</v>
      </c>
      <c r="E8" t="str">
        <f>RTD("rtdtrading.rtdserver",, "CSNA3_B_0", "HOR")</f>
        <v>17:07:59</v>
      </c>
      <c r="F8">
        <f>RTD("rtdtrading.rtdserver",, "CSNA3_B_0", "ULT")</f>
        <v>8.4500000000000011</v>
      </c>
      <c r="G8">
        <f>RTD("rtdtrading.rtdserver",, "CSNA3_B_0", "ABE")</f>
        <v>8.2899999999999991</v>
      </c>
      <c r="H8">
        <f>RTD("rtdtrading.rtdserver",, "CSNA3_B_0", "MAX")</f>
        <v>8.4700000000000006</v>
      </c>
      <c r="I8">
        <f>RTD("rtdtrading.rtdserver",, "CSNA3_B_0", "MIN")</f>
        <v>8.27</v>
      </c>
      <c r="J8">
        <f>RTD("rtdtrading.rtdserver",, "CSNA3_B_0", "FEC")</f>
        <v>8.41</v>
      </c>
      <c r="K8">
        <f>RTD("rtdtrading.rtdserver",, "CSNA3_B_0", "PEX")</f>
        <v>0</v>
      </c>
      <c r="L8">
        <f>RTD("rtdtrading.rtdserver",, "CSNA3_B_0", "VAR")</f>
        <v>0.47562425683710968</v>
      </c>
      <c r="M8">
        <f>RTD("rtdtrading.rtdserver",, "CSNA3_B_0", "VARPTS")</f>
        <v>4.0000000000000924E-2</v>
      </c>
      <c r="N8">
        <f>RTD("rtdtrading.rtdserver",, "CSNA3_B_0", "MED")</f>
        <v>8.4037311937510619</v>
      </c>
      <c r="O8" t="s">
        <v>153</v>
      </c>
      <c r="P8">
        <f>RTD("rtdtrading.rtdserver",, "CSNA3_B_0", "NEG")</f>
        <v>8940</v>
      </c>
      <c r="Q8">
        <f>RTD("rtdtrading.rtdserver",, "CSNA3_B_0", "QUL")</f>
        <v>0</v>
      </c>
      <c r="R8">
        <f>RTD("rtdtrading.rtdserver",, "CSNA3_B_0", "QTT")</f>
        <v>5889000</v>
      </c>
      <c r="S8">
        <f>RTD("rtdtrading.rtdserver",, "CSNA3_B_0", "VOL")</f>
        <v>49489573</v>
      </c>
      <c r="T8">
        <f>RTD("rtdtrading.rtdserver",, "CSNA3_B_0", "OCP")</f>
        <v>8.42</v>
      </c>
      <c r="U8">
        <f>RTD("rtdtrading.rtdserver",, "CSNA3_B_0", "OVD")</f>
        <v>8.4600000000000009</v>
      </c>
      <c r="V8">
        <f>RTD("rtdtrading.rtdserver",, "CSNA3_B_0", "VOC")</f>
        <v>11800</v>
      </c>
      <c r="W8">
        <f>RTD("rtdtrading.rtdserver",, "CSNA3_B_0", "VOV")</f>
        <v>500</v>
      </c>
      <c r="X8">
        <f>RTD("rtdtrading.rtdserver",, "CSNA3_B_0", "AJU")</f>
        <v>0</v>
      </c>
      <c r="Y8">
        <f>RTD("rtdtrading.rtdserver",, "CSNA3_B_0", "AJA")</f>
        <v>0</v>
      </c>
      <c r="Z8">
        <f>RTD("rtdtrading.rtdserver",, "CSNA3_B_0", "PRT")</f>
        <v>0</v>
      </c>
      <c r="AA8">
        <f>RTD("rtdtrading.rtdserver",, "CSNA3_B_0", "QTE")</f>
        <v>0</v>
      </c>
      <c r="AB8">
        <f>RTD("rtdtrading.rtdserver",, "CSNA3_B_0", "VPJ")</f>
        <v>49489573</v>
      </c>
      <c r="AC8">
        <f>RTD("rtdtrading.rtdserver",, "CSNA3_B_0", "SEM")</f>
        <v>6.8268015170670164</v>
      </c>
      <c r="AD8">
        <f>RTD("rtdtrading.rtdserver",, "CSNA3_B_0", "MES")</f>
        <v>6.9620253164557058</v>
      </c>
      <c r="AE8">
        <f>RTD("rtdtrading.rtdserver",, "CSNA3_B_0", "3M")</f>
        <v>3.0487804878048776</v>
      </c>
      <c r="AF8">
        <f>RTD("rtdtrading.rtdserver",, "CSNA3_B_0", "6M")</f>
        <v>-2.0857473928157555</v>
      </c>
      <c r="AG8">
        <f>RTD("rtdtrading.rtdserver",, "CSNA3_B_0", "12M")</f>
        <v>-25.219915396732684</v>
      </c>
      <c r="AH8">
        <f>RTD("rtdtrading.rtdserver",, "CSNA3_B_0", "ANO")</f>
        <v>-4.6275395033860054</v>
      </c>
      <c r="AI8">
        <f>RTD("rtdtrading.rtdserver",, "CSNA3_B_0", "TRIM")</f>
        <v>6.9620253164557058</v>
      </c>
      <c r="AJ8">
        <f>RTD("rtdtrading.rtdserver",, "CSNA3_B_0", "SEMES")</f>
        <v>13.575268817204309</v>
      </c>
      <c r="AK8" t="str">
        <f>RTD("rtdtrading.rtdserver",, "CSNA3_B_0", "VEN")</f>
        <v>-</v>
      </c>
      <c r="AL8" t="str">
        <f>RTD("rtdtrading.rtdserver",, "CSNA3_B_0", "VAL")</f>
        <v>31/12/9999</v>
      </c>
      <c r="AM8">
        <f>RTD("rtdtrading.rtdserver",, "CSNA3_B_0", "CAB")</f>
        <v>0</v>
      </c>
      <c r="AN8" t="str">
        <f>RTD("rtdtrading.rtdserver",, "CSNA3_B_0", "EST")</f>
        <v>Pré-Fechamento</v>
      </c>
      <c r="AO8" t="str">
        <f>RTD("rtdtrading.rtdserver",, "CSNA3_B_0", "BLACK")</f>
        <v>-</v>
      </c>
      <c r="AP8" t="str">
        <f>RTD("rtdtrading.rtdserver",, "CSNA3_B_0", "IMPVT")</f>
        <v>-</v>
      </c>
      <c r="AQ8" t="str">
        <f>RTD("rtdtrading.rtdserver",, "CSNA3_B_0", "DELTA")</f>
        <v>-</v>
      </c>
      <c r="AR8" t="str">
        <f>RTD("rtdtrading.rtdserver",, "CSNA3_B_0", "GAMA")</f>
        <v>-</v>
      </c>
      <c r="AS8" t="str">
        <f>RTD("rtdtrading.rtdserver",, "CSNA3_B_0", "THETA")</f>
        <v>-</v>
      </c>
      <c r="AT8" t="str">
        <f>RTD("rtdtrading.rtdserver",, "CSNA3_B_0", "RHO")</f>
        <v>-</v>
      </c>
      <c r="AU8" t="str">
        <f>RTD("rtdtrading.rtdserver",, "CSNA3_B_0", "VEGA")</f>
        <v>-</v>
      </c>
      <c r="AV8" t="str">
        <f>RTD("rtdtrading.rtdserver",, "CSNA3_B_0", "VIA")</f>
        <v>-</v>
      </c>
      <c r="AW8" t="str">
        <f>RTD("rtdtrading.rtdserver",, "CSNA3_B_0", "VIB")</f>
        <v>-</v>
      </c>
      <c r="AX8" t="str">
        <f>RTD("rtdtrading.rtdserver",, "CSNA3_B_0", "DOBRAR")</f>
        <v>-</v>
      </c>
      <c r="AY8" t="str">
        <f>RTD("rtdtrading.rtdserver",, "CSNA3_B_0", "VIVH")</f>
        <v>-</v>
      </c>
      <c r="AZ8" t="str">
        <f>RTD("rtdtrading.rtdserver",, "CSNA3_B_0", "VINT")</f>
        <v>-</v>
      </c>
      <c r="BA8" t="str">
        <f>RTD("rtdtrading.rtdserver",, "CSNA3_B_0", "VEXT")</f>
        <v>-</v>
      </c>
    </row>
    <row r="9" spans="3:53" x14ac:dyDescent="0.25">
      <c r="C9" t="s">
        <v>26</v>
      </c>
      <c r="D9" t="str">
        <f>RTD("rtdtrading.rtdserver",, "PETR4_B_0", "DAT")</f>
        <v>14/10/2025</v>
      </c>
      <c r="E9" t="str">
        <f>RTD("rtdtrading.rtdserver",, "PETR4_B_0", "HOR")</f>
        <v>17:07:40</v>
      </c>
      <c r="F9">
        <f>RTD("rtdtrading.rtdserver",, "PETR4_B_0", "ULT")</f>
        <v>30.020000000000003</v>
      </c>
      <c r="G9">
        <f>RTD("rtdtrading.rtdserver",, "PETR4_B_0", "ABE")</f>
        <v>29.95</v>
      </c>
      <c r="H9">
        <f>RTD("rtdtrading.rtdserver",, "PETR4_B_0", "MAX")</f>
        <v>30.46</v>
      </c>
      <c r="I9">
        <f>RTD("rtdtrading.rtdserver",, "PETR4_B_0", "MIN")</f>
        <v>29.88</v>
      </c>
      <c r="J9">
        <f>RTD("rtdtrading.rtdserver",, "PETR4_B_0", "FEC")</f>
        <v>30.23</v>
      </c>
      <c r="K9">
        <f>RTD("rtdtrading.rtdserver",, "PETR4_B_0", "PEX")</f>
        <v>0</v>
      </c>
      <c r="L9">
        <f>RTD("rtdtrading.rtdserver",, "PETR4_B_0", "VAR")</f>
        <v>-0.69467416473700727</v>
      </c>
      <c r="M9">
        <f>RTD("rtdtrading.rtdserver",, "PETR4_B_0", "VARPTS")</f>
        <v>-0.2099999999999973</v>
      </c>
      <c r="N9">
        <f>RTD("rtdtrading.rtdserver",, "PETR4_B_0", "MED")</f>
        <v>30.148304598520376</v>
      </c>
      <c r="O9" t="s">
        <v>156</v>
      </c>
      <c r="P9">
        <f>RTD("rtdtrading.rtdserver",, "PETR4_B_0", "NEG")</f>
        <v>31189</v>
      </c>
      <c r="Q9">
        <f>RTD("rtdtrading.rtdserver",, "PETR4_B_0", "QUL")</f>
        <v>0</v>
      </c>
      <c r="R9">
        <f>RTD("rtdtrading.rtdserver",, "PETR4_B_0", "QTT")</f>
        <v>28061200</v>
      </c>
      <c r="S9">
        <f>RTD("rtdtrading.rtdserver",, "PETR4_B_0", "VOL")</f>
        <v>845997605</v>
      </c>
      <c r="T9">
        <f>RTD("rtdtrading.rtdserver",, "PETR4_B_0", "OCP")</f>
        <v>30.05</v>
      </c>
      <c r="U9">
        <f>RTD("rtdtrading.rtdserver",, "PETR4_B_0", "OVD")</f>
        <v>30.1</v>
      </c>
      <c r="V9">
        <f>RTD("rtdtrading.rtdserver",, "PETR4_B_0", "VOC")</f>
        <v>100</v>
      </c>
      <c r="W9">
        <f>RTD("rtdtrading.rtdserver",, "PETR4_B_0", "VOV")</f>
        <v>20000</v>
      </c>
      <c r="X9">
        <f>RTD("rtdtrading.rtdserver",, "PETR4_B_0", "AJU")</f>
        <v>0</v>
      </c>
      <c r="Y9">
        <f>RTD("rtdtrading.rtdserver",, "PETR4_B_0", "AJA")</f>
        <v>0</v>
      </c>
      <c r="Z9">
        <f>RTD("rtdtrading.rtdserver",, "PETR4_B_0", "PRT")</f>
        <v>0</v>
      </c>
      <c r="AA9">
        <f>RTD("rtdtrading.rtdserver",, "PETR4_B_0", "QTE")</f>
        <v>0</v>
      </c>
      <c r="AB9">
        <f>RTD("rtdtrading.rtdserver",, "PETR4_B_0", "VPJ")</f>
        <v>845997605</v>
      </c>
      <c r="AC9">
        <f>RTD("rtdtrading.rtdserver",, "PETR4_B_0", "SEM")</f>
        <v>0.26720106880428141</v>
      </c>
      <c r="AD9">
        <f>RTD("rtdtrading.rtdserver",, "PETR4_B_0", "MES")</f>
        <v>-4.5772409408772976</v>
      </c>
      <c r="AE9">
        <f>RTD("rtdtrading.rtdserver",, "PETR4_B_0", "3M")</f>
        <v>-4.8820055258421746</v>
      </c>
      <c r="AF9">
        <f>RTD("rtdtrading.rtdserver",, "PETR4_B_0", "6M")</f>
        <v>1.1660039091460539</v>
      </c>
      <c r="AG9">
        <f>RTD("rtdtrading.rtdserver",, "PETR4_B_0", "12M")</f>
        <v>-7.8793532529144281</v>
      </c>
      <c r="AH9">
        <f>RTD("rtdtrading.rtdserver",, "PETR4_B_0", "ANO")</f>
        <v>-10.96611551864758</v>
      </c>
      <c r="AI9">
        <f>RTD("rtdtrading.rtdserver",, "PETR4_B_0", "TRIM")</f>
        <v>-4.5772409408772976</v>
      </c>
      <c r="AJ9">
        <f>RTD("rtdtrading.rtdserver",, "PETR4_B_0", "SEMES")</f>
        <v>-2.3965198279421602</v>
      </c>
      <c r="AK9" t="str">
        <f>RTD("rtdtrading.rtdserver",, "PETR4_B_0", "VEN")</f>
        <v>-</v>
      </c>
      <c r="AL9" t="str">
        <f>RTD("rtdtrading.rtdserver",, "PETR4_B_0", "VAL")</f>
        <v>31/12/9999</v>
      </c>
      <c r="AM9">
        <f>RTD("rtdtrading.rtdserver",, "PETR4_B_0", "CAB")</f>
        <v>0</v>
      </c>
      <c r="AN9" t="str">
        <f>RTD("rtdtrading.rtdserver",, "PETR4_B_0", "EST")</f>
        <v>Pré-Fechamento</v>
      </c>
      <c r="AO9" t="str">
        <f>RTD("rtdtrading.rtdserver",, "PETR4_B_0", "BLACK")</f>
        <v>-</v>
      </c>
      <c r="AP9" t="str">
        <f>RTD("rtdtrading.rtdserver",, "PETR4_B_0", "IMPVT")</f>
        <v>-</v>
      </c>
      <c r="AQ9" t="str">
        <f>RTD("rtdtrading.rtdserver",, "PETR4_B_0", "DELTA")</f>
        <v>-</v>
      </c>
      <c r="AR9" t="str">
        <f>RTD("rtdtrading.rtdserver",, "PETR4_B_0", "GAMA")</f>
        <v>-</v>
      </c>
      <c r="AS9" t="str">
        <f>RTD("rtdtrading.rtdserver",, "PETR4_B_0", "THETA")</f>
        <v>-</v>
      </c>
      <c r="AT9" t="str">
        <f>RTD("rtdtrading.rtdserver",, "PETR4_B_0", "RHO")</f>
        <v>-</v>
      </c>
      <c r="AU9" t="str">
        <f>RTD("rtdtrading.rtdserver",, "PETR4_B_0", "VEGA")</f>
        <v>-</v>
      </c>
      <c r="AV9" t="str">
        <f>RTD("rtdtrading.rtdserver",, "PETR4_B_0", "VIA")</f>
        <v>-</v>
      </c>
      <c r="AW9" t="str">
        <f>RTD("rtdtrading.rtdserver",, "PETR4_B_0", "VIB")</f>
        <v>-</v>
      </c>
      <c r="AX9" t="str">
        <f>RTD("rtdtrading.rtdserver",, "PETR4_B_0", "DOBRAR")</f>
        <v>-</v>
      </c>
      <c r="AY9" t="str">
        <f>RTD("rtdtrading.rtdserver",, "PETR4_B_0", "VIVH")</f>
        <v>-</v>
      </c>
      <c r="AZ9" t="str">
        <f>RTD("rtdtrading.rtdserver",, "PETR4_B_0", "VINT")</f>
        <v>-</v>
      </c>
      <c r="BA9" t="str">
        <f>RTD("rtdtrading.rtdserver",, "PETR4_B_0", "VEXT")</f>
        <v>-</v>
      </c>
    </row>
    <row r="10" spans="3:53" x14ac:dyDescent="0.25">
      <c r="C10" t="s">
        <v>159</v>
      </c>
      <c r="D10" t="str">
        <f>RTD("rtdtrading.rtdserver",, "VALE3_B_0", "DAT")</f>
        <v>14/10/2025</v>
      </c>
      <c r="E10" t="str">
        <f>RTD("rtdtrading.rtdserver",, "VALE3_B_0", "HOR")</f>
        <v>17:07:35</v>
      </c>
      <c r="F10">
        <f>RTD("rtdtrading.rtdserver",, "VALE3_B_0", "ULT")</f>
        <v>59.75</v>
      </c>
      <c r="G10">
        <f>RTD("rtdtrading.rtdserver",, "VALE3_B_0", "ABE")</f>
        <v>59.3</v>
      </c>
      <c r="H10">
        <f>RTD("rtdtrading.rtdserver",, "VALE3_B_0", "MAX")</f>
        <v>60.13</v>
      </c>
      <c r="I10">
        <f>RTD("rtdtrading.rtdserver",, "VALE3_B_0", "MIN")</f>
        <v>59.22</v>
      </c>
      <c r="J10">
        <f>RTD("rtdtrading.rtdserver",, "VALE3_B_0", "FEC")</f>
        <v>59.75</v>
      </c>
      <c r="K10">
        <f>RTD("rtdtrading.rtdserver",, "VALE3_B_0", "PEX")</f>
        <v>0</v>
      </c>
      <c r="L10">
        <f>RTD("rtdtrading.rtdserver",, "VALE3_B_0", "VAR")</f>
        <v>0</v>
      </c>
      <c r="M10">
        <f>RTD("rtdtrading.rtdserver",, "VALE3_B_0", "VARPTS")</f>
        <v>0</v>
      </c>
      <c r="N10">
        <f>RTD("rtdtrading.rtdserver",, "VALE3_B_0", "MED")</f>
        <v>59.846389933063378</v>
      </c>
      <c r="O10" t="s">
        <v>160</v>
      </c>
      <c r="P10">
        <f>RTD("rtdtrading.rtdserver",, "VALE3_B_0", "NEG")</f>
        <v>31681</v>
      </c>
      <c r="Q10">
        <f>RTD("rtdtrading.rtdserver",, "VALE3_B_0", "QUL")</f>
        <v>0</v>
      </c>
      <c r="R10">
        <f>RTD("rtdtrading.rtdserver",, "VALE3_B_0", "QTT")</f>
        <v>19286900</v>
      </c>
      <c r="S10">
        <f>RTD("rtdtrading.rtdserver",, "VALE3_B_0", "VOL")</f>
        <v>1154251338</v>
      </c>
      <c r="T10">
        <f>RTD("rtdtrading.rtdserver",, "VALE3_B_0", "OCP")</f>
        <v>59.550000000000004</v>
      </c>
      <c r="U10">
        <f>RTD("rtdtrading.rtdserver",, "VALE3_B_0", "OVD")</f>
        <v>59.75</v>
      </c>
      <c r="V10">
        <f>RTD("rtdtrading.rtdserver",, "VALE3_B_0", "VOC")</f>
        <v>100</v>
      </c>
      <c r="W10">
        <f>RTD("rtdtrading.rtdserver",, "VALE3_B_0", "VOV")</f>
        <v>800</v>
      </c>
      <c r="X10">
        <f>RTD("rtdtrading.rtdserver",, "VALE3_B_0", "AJU")</f>
        <v>0</v>
      </c>
      <c r="Y10">
        <f>RTD("rtdtrading.rtdserver",, "VALE3_B_0", "AJA")</f>
        <v>0</v>
      </c>
      <c r="Z10">
        <f>RTD("rtdtrading.rtdserver",, "VALE3_B_0", "PRT")</f>
        <v>0</v>
      </c>
      <c r="AA10">
        <f>RTD("rtdtrading.rtdserver",, "VALE3_B_0", "QTE")</f>
        <v>0</v>
      </c>
      <c r="AB10">
        <f>RTD("rtdtrading.rtdserver",, "VALE3_B_0", "VPJ")</f>
        <v>1154251338</v>
      </c>
      <c r="AC10">
        <f>RTD("rtdtrading.rtdserver",, "VALE3_B_0", "SEM")</f>
        <v>1.4948190929165879</v>
      </c>
      <c r="AD10">
        <f>RTD("rtdtrading.rtdserver",, "VALE3_B_0", "MES")</f>
        <v>3.7686696769711605</v>
      </c>
      <c r="AE10">
        <f>RTD("rtdtrading.rtdserver",, "VALE3_B_0", "3M")</f>
        <v>11.132190578222181</v>
      </c>
      <c r="AF10">
        <f>RTD("rtdtrading.rtdserver",, "VALE3_B_0", "6M")</f>
        <v>14.652932620534282</v>
      </c>
      <c r="AG10">
        <f>RTD("rtdtrading.rtdserver",, "VALE3_B_0", "12M")</f>
        <v>3.6669471602196433</v>
      </c>
      <c r="AH10">
        <f>RTD("rtdtrading.rtdserver",, "VALE3_B_0", "ANO")</f>
        <v>17.1842057264342</v>
      </c>
      <c r="AI10">
        <f>RTD("rtdtrading.rtdserver",, "VALE3_B_0", "TRIM")</f>
        <v>3.7686696769711605</v>
      </c>
      <c r="AJ10">
        <f>RTD("rtdtrading.rtdserver",, "VALE3_B_0", "SEMES")</f>
        <v>16.852359244243921</v>
      </c>
      <c r="AK10" t="str">
        <f>RTD("rtdtrading.rtdserver",, "VALE3_B_0", "VEN")</f>
        <v>-</v>
      </c>
      <c r="AL10" t="str">
        <f>RTD("rtdtrading.rtdserver",, "VALE3_B_0", "VAL")</f>
        <v>31/12/9999</v>
      </c>
      <c r="AM10">
        <f>RTD("rtdtrading.rtdserver",, "VALE3_B_0", "CAB")</f>
        <v>0</v>
      </c>
      <c r="AN10" t="str">
        <f>RTD("rtdtrading.rtdserver",, "VALE3_B_0", "EST")</f>
        <v>Pré-Fechamento</v>
      </c>
      <c r="AO10" t="str">
        <f>RTD("rtdtrading.rtdserver",, "VALE3_B_0", "BLACK")</f>
        <v>-</v>
      </c>
      <c r="AP10" t="str">
        <f>RTD("rtdtrading.rtdserver",, "VALE3_B_0", "IMPVT")</f>
        <v>-</v>
      </c>
      <c r="AQ10" t="str">
        <f>RTD("rtdtrading.rtdserver",, "VALE3_B_0", "DELTA")</f>
        <v>-</v>
      </c>
      <c r="AR10" t="str">
        <f>RTD("rtdtrading.rtdserver",, "VALE3_B_0", "GAMA")</f>
        <v>-</v>
      </c>
      <c r="AS10" t="str">
        <f>RTD("rtdtrading.rtdserver",, "VALE3_B_0", "THETA")</f>
        <v>-</v>
      </c>
      <c r="AT10" t="str">
        <f>RTD("rtdtrading.rtdserver",, "VALE3_B_0", "RHO")</f>
        <v>-</v>
      </c>
      <c r="AU10" t="str">
        <f>RTD("rtdtrading.rtdserver",, "VALE3_B_0", "VEGA")</f>
        <v>-</v>
      </c>
      <c r="AV10" t="str">
        <f>RTD("rtdtrading.rtdserver",, "VALE3_B_0", "VIA")</f>
        <v>-</v>
      </c>
      <c r="AW10" t="str">
        <f>RTD("rtdtrading.rtdserver",, "VALE3_B_0", "VIB")</f>
        <v>-</v>
      </c>
      <c r="AX10" t="str">
        <f>RTD("rtdtrading.rtdserver",, "VALE3_B_0", "DOBRAR")</f>
        <v>-</v>
      </c>
      <c r="AY10" t="str">
        <f>RTD("rtdtrading.rtdserver",, "VALE3_B_0", "VIVH")</f>
        <v>-</v>
      </c>
      <c r="AZ10" t="str">
        <f>RTD("rtdtrading.rtdserver",, "VALE3_B_0", "VINT")</f>
        <v>-</v>
      </c>
      <c r="BA10" t="str">
        <f>RTD("rtdtrading.rtdserver",, "VALE3_B_0", "VEXT")</f>
        <v>-</v>
      </c>
    </row>
    <row r="11" spans="3:53" x14ac:dyDescent="0.25">
      <c r="C11" t="s">
        <v>164</v>
      </c>
      <c r="D11" t="str">
        <f>RTD("rtdtrading.rtdserver",, "GGBR4_B_0", "DAT")</f>
        <v>14/10/2025</v>
      </c>
      <c r="E11" t="str">
        <f>RTD("rtdtrading.rtdserver",, "GGBR4_B_0", "HOR")</f>
        <v>17:07:47</v>
      </c>
      <c r="F11">
        <f>RTD("rtdtrading.rtdserver",, "GGBR4_B_0", "ULT")</f>
        <v>17.71</v>
      </c>
      <c r="G11">
        <f>RTD("rtdtrading.rtdserver",, "GGBR4_B_0", "ABE")</f>
        <v>17.61</v>
      </c>
      <c r="H11">
        <f>RTD("rtdtrading.rtdserver",, "GGBR4_B_0", "MAX")</f>
        <v>17.78</v>
      </c>
      <c r="I11">
        <f>RTD("rtdtrading.rtdserver",, "GGBR4_B_0", "MIN")</f>
        <v>17.54</v>
      </c>
      <c r="J11">
        <f>RTD("rtdtrading.rtdserver",, "GGBR4_B_0", "FEC")</f>
        <v>17.720000000000002</v>
      </c>
      <c r="K11">
        <f>RTD("rtdtrading.rtdserver",, "GGBR4_B_0", "PEX")</f>
        <v>0</v>
      </c>
      <c r="L11">
        <f>RTD("rtdtrading.rtdserver",, "GGBR4_B_0", "VAR")</f>
        <v>-5.6433408577886916E-2</v>
      </c>
      <c r="M11">
        <f>RTD("rtdtrading.rtdserver",, "GGBR4_B_0", "VARPTS")</f>
        <v>-1.0000000000001563E-2</v>
      </c>
      <c r="N11">
        <f>RTD("rtdtrading.rtdserver",, "GGBR4_B_0", "MED")</f>
        <v>17.696199109446443</v>
      </c>
      <c r="O11" t="s">
        <v>452</v>
      </c>
      <c r="P11">
        <f>RTD("rtdtrading.rtdserver",, "GGBR4_B_0", "NEG")</f>
        <v>21106</v>
      </c>
      <c r="Q11">
        <f>RTD("rtdtrading.rtdserver",, "GGBR4_B_0", "QUL")</f>
        <v>0</v>
      </c>
      <c r="R11">
        <f>RTD("rtdtrading.rtdserver",, "GGBR4_B_0", "QTT")</f>
        <v>10038700</v>
      </c>
      <c r="S11">
        <f>RTD("rtdtrading.rtdserver",, "GGBR4_B_0", "VOL")</f>
        <v>177646834</v>
      </c>
      <c r="T11">
        <f>RTD("rtdtrading.rtdserver",, "GGBR4_B_0", "OCP")</f>
        <v>17.650000000000002</v>
      </c>
      <c r="U11">
        <f>RTD("rtdtrading.rtdserver",, "GGBR4_B_0", "OVD")</f>
        <v>17.760000000000002</v>
      </c>
      <c r="V11">
        <f>RTD("rtdtrading.rtdserver",, "GGBR4_B_0", "VOC")</f>
        <v>5600</v>
      </c>
      <c r="W11">
        <f>RTD("rtdtrading.rtdserver",, "GGBR4_B_0", "VOV")</f>
        <v>1100</v>
      </c>
      <c r="X11">
        <f>RTD("rtdtrading.rtdserver",, "GGBR4_B_0", "AJU")</f>
        <v>0</v>
      </c>
      <c r="Y11">
        <f>RTD("rtdtrading.rtdserver",, "GGBR4_B_0", "AJA")</f>
        <v>0</v>
      </c>
      <c r="Z11">
        <f>RTD("rtdtrading.rtdserver",, "GGBR4_B_0", "PRT")</f>
        <v>0</v>
      </c>
      <c r="AA11">
        <f>RTD("rtdtrading.rtdserver",, "GGBR4_B_0", "QTE")</f>
        <v>0</v>
      </c>
      <c r="AB11">
        <f>RTD("rtdtrading.rtdserver",, "GGBR4_B_0", "VPJ")</f>
        <v>177646834</v>
      </c>
      <c r="AC11">
        <f>RTD("rtdtrading.rtdserver",, "GGBR4_B_0", "SEM")</f>
        <v>2.0749279538904863</v>
      </c>
      <c r="AD11">
        <f>RTD("rtdtrading.rtdserver",, "GGBR4_B_0", "MES")</f>
        <v>6.6225165562913997</v>
      </c>
      <c r="AE11">
        <f>RTD("rtdtrading.rtdserver",, "GGBR4_B_0", "3M")</f>
        <v>7.152797105482894</v>
      </c>
      <c r="AF11">
        <f>RTD("rtdtrading.rtdserver",, "GGBR4_B_0", "6M")</f>
        <v>22.519007395416089</v>
      </c>
      <c r="AG11">
        <f>RTD("rtdtrading.rtdserver",, "GGBR4_B_0", "12M")</f>
        <v>-0.32362459546926126</v>
      </c>
      <c r="AH11">
        <f>RTD("rtdtrading.rtdserver",, "GGBR4_B_0", "ANO")</f>
        <v>-0.2534497324697364</v>
      </c>
      <c r="AI11">
        <f>RTD("rtdtrading.rtdserver",, "GGBR4_B_0", "TRIM")</f>
        <v>6.6225165562913997</v>
      </c>
      <c r="AJ11">
        <f>RTD("rtdtrading.rtdserver",, "GGBR4_B_0", "SEMES")</f>
        <v>11.50567287471825</v>
      </c>
      <c r="AK11" t="str">
        <f>RTD("rtdtrading.rtdserver",, "GGBR4_B_0", "VEN")</f>
        <v>-</v>
      </c>
      <c r="AL11" t="str">
        <f>RTD("rtdtrading.rtdserver",, "GGBR4_B_0", "VAL")</f>
        <v>31/12/9999</v>
      </c>
      <c r="AM11">
        <f>RTD("rtdtrading.rtdserver",, "GGBR4_B_0", "CAB")</f>
        <v>0</v>
      </c>
      <c r="AN11" t="str">
        <f>RTD("rtdtrading.rtdserver",, "GGBR4_B_0", "EST")</f>
        <v>Pré-Fechamento</v>
      </c>
      <c r="AO11" t="str">
        <f>RTD("rtdtrading.rtdserver",, "GGBR4_B_0", "BLACK")</f>
        <v>-</v>
      </c>
      <c r="AP11" t="str">
        <f>RTD("rtdtrading.rtdserver",, "GGBR4_B_0", "IMPVT")</f>
        <v>-</v>
      </c>
      <c r="AQ11" t="str">
        <f>RTD("rtdtrading.rtdserver",, "GGBR4_B_0", "DELTA")</f>
        <v>-</v>
      </c>
      <c r="AR11" t="str">
        <f>RTD("rtdtrading.rtdserver",, "GGBR4_B_0", "GAMA")</f>
        <v>-</v>
      </c>
      <c r="AS11" t="str">
        <f>RTD("rtdtrading.rtdserver",, "GGBR4_B_0", "THETA")</f>
        <v>-</v>
      </c>
      <c r="AT11" t="str">
        <f>RTD("rtdtrading.rtdserver",, "GGBR4_B_0", "RHO")</f>
        <v>-</v>
      </c>
      <c r="AU11" t="str">
        <f>RTD("rtdtrading.rtdserver",, "GGBR4_B_0", "VEGA")</f>
        <v>-</v>
      </c>
      <c r="AV11" t="str">
        <f>RTD("rtdtrading.rtdserver",, "GGBR4_B_0", "VIA")</f>
        <v>-</v>
      </c>
      <c r="AW11" t="str">
        <f>RTD("rtdtrading.rtdserver",, "GGBR4_B_0", "VIB")</f>
        <v>-</v>
      </c>
      <c r="AX11" t="str">
        <f>RTD("rtdtrading.rtdserver",, "GGBR4_B_0", "DOBRAR")</f>
        <v>-</v>
      </c>
      <c r="AY11" t="str">
        <f>RTD("rtdtrading.rtdserver",, "GGBR4_B_0", "VIVH")</f>
        <v>-</v>
      </c>
      <c r="AZ11" t="str">
        <f>RTD("rtdtrading.rtdserver",, "GGBR4_B_0", "VINT")</f>
        <v>-</v>
      </c>
      <c r="BA11" t="str">
        <f>RTD("rtdtrading.rtdserver",, "GGBR4_B_0", "VEXT")</f>
        <v>-</v>
      </c>
    </row>
    <row r="12" spans="3:53" x14ac:dyDescent="0.25">
      <c r="C12" t="s">
        <v>168</v>
      </c>
      <c r="D12" t="str">
        <f>RTD("rtdtrading.rtdserver",, "BBAS3_B_0", "DAT")</f>
        <v>14/10/2025</v>
      </c>
      <c r="E12" t="str">
        <f>RTD("rtdtrading.rtdserver",, "BBAS3_B_0", "HOR")</f>
        <v>17:58:32</v>
      </c>
      <c r="F12">
        <f>RTD("rtdtrading.rtdserver",, "BBAS3_B_0", "ULT")</f>
        <v>20.7</v>
      </c>
      <c r="G12">
        <f>RTD("rtdtrading.rtdserver",, "BBAS3_B_0", "ABE")</f>
        <v>20.8</v>
      </c>
      <c r="H12">
        <f>RTD("rtdtrading.rtdserver",, "BBAS3_B_0", "MAX")</f>
        <v>21.16</v>
      </c>
      <c r="I12">
        <f>RTD("rtdtrading.rtdserver",, "BBAS3_B_0", "MIN")</f>
        <v>20.67</v>
      </c>
      <c r="J12">
        <f>RTD("rtdtrading.rtdserver",, "BBAS3_B_0", "FEC")</f>
        <v>20.880000000000003</v>
      </c>
      <c r="K12">
        <f>RTD("rtdtrading.rtdserver",, "BBAS3_B_0", "PEX")</f>
        <v>0</v>
      </c>
      <c r="L12">
        <f>RTD("rtdtrading.rtdserver",, "BBAS3_B_0", "VAR")</f>
        <v>-0.86206896551725698</v>
      </c>
      <c r="M12">
        <f>RTD("rtdtrading.rtdserver",, "BBAS3_B_0", "VARPTS")</f>
        <v>-0.18000000000000327</v>
      </c>
      <c r="N12">
        <f>RTD("rtdtrading.rtdserver",, "BBAS3_B_0", "MED")</f>
        <v>20.840839938840382</v>
      </c>
      <c r="O12" t="s">
        <v>453</v>
      </c>
      <c r="P12">
        <f>RTD("rtdtrading.rtdserver",, "BBAS3_B_0", "NEG")</f>
        <v>30014</v>
      </c>
      <c r="Q12">
        <f>RTD("rtdtrading.rtdserver",, "BBAS3_B_0", "QUL")</f>
        <v>0</v>
      </c>
      <c r="R12">
        <f>RTD("rtdtrading.rtdserver",, "BBAS3_B_0", "QTT")</f>
        <v>19882400</v>
      </c>
      <c r="S12">
        <f>RTD("rtdtrading.rtdserver",, "BBAS3_B_0", "VOL")</f>
        <v>414365916</v>
      </c>
      <c r="T12">
        <f>RTD("rtdtrading.rtdserver",, "BBAS3_B_0", "OCP")</f>
        <v>20.7</v>
      </c>
      <c r="U12">
        <f>RTD("rtdtrading.rtdserver",, "BBAS3_B_0", "OVD")</f>
        <v>20.85</v>
      </c>
      <c r="V12">
        <f>RTD("rtdtrading.rtdserver",, "BBAS3_B_0", "VOC")</f>
        <v>300</v>
      </c>
      <c r="W12">
        <f>RTD("rtdtrading.rtdserver",, "BBAS3_B_0", "VOV")</f>
        <v>100</v>
      </c>
      <c r="X12">
        <f>RTD("rtdtrading.rtdserver",, "BBAS3_B_0", "AJU")</f>
        <v>0</v>
      </c>
      <c r="Y12">
        <f>RTD("rtdtrading.rtdserver",, "BBAS3_B_0", "AJA")</f>
        <v>0</v>
      </c>
      <c r="Z12">
        <f>RTD("rtdtrading.rtdserver",, "BBAS3_B_0", "PRT")</f>
        <v>0</v>
      </c>
      <c r="AA12">
        <f>RTD("rtdtrading.rtdserver",, "BBAS3_B_0", "QTE")</f>
        <v>0</v>
      </c>
      <c r="AB12">
        <f>RTD("rtdtrading.rtdserver",, "BBAS3_B_0", "VPJ")</f>
        <v>414365916</v>
      </c>
      <c r="AC12">
        <f>RTD("rtdtrading.rtdserver",, "BBAS3_B_0", "SEM")</f>
        <v>0.43668122270742288</v>
      </c>
      <c r="AD12">
        <f>RTD("rtdtrading.rtdserver",, "BBAS3_B_0", "MES")</f>
        <v>-6.2924400181077438</v>
      </c>
      <c r="AE12">
        <f>RTD("rtdtrading.rtdserver",, "BBAS3_B_0", "3M")</f>
        <v>9.6711798839456353E-2</v>
      </c>
      <c r="AF12">
        <f>RTD("rtdtrading.rtdserver",, "BBAS3_B_0", "6M")</f>
        <v>-24.366708197991152</v>
      </c>
      <c r="AG12">
        <f>RTD("rtdtrading.rtdserver",, "BBAS3_B_0", "12M")</f>
        <v>-16.677065261581689</v>
      </c>
      <c r="AH12">
        <f>RTD("rtdtrading.rtdserver",, "BBAS3_B_0", "ANO")</f>
        <v>-11.207196077674402</v>
      </c>
      <c r="AI12">
        <f>RTD("rtdtrading.rtdserver",, "BBAS3_B_0", "TRIM")</f>
        <v>-6.2924400181077438</v>
      </c>
      <c r="AJ12">
        <f>RTD("rtdtrading.rtdserver",, "BBAS3_B_0", "SEMES")</f>
        <v>-6.2924400181077438</v>
      </c>
      <c r="AK12" t="str">
        <f>RTD("rtdtrading.rtdserver",, "BBAS3_B_0", "VEN")</f>
        <v>-</v>
      </c>
      <c r="AL12" t="str">
        <f>RTD("rtdtrading.rtdserver",, "BBAS3_B_0", "VAL")</f>
        <v>31/12/9999</v>
      </c>
      <c r="AM12">
        <f>RTD("rtdtrading.rtdserver",, "BBAS3_B_0", "CAB")</f>
        <v>0</v>
      </c>
      <c r="AN12" t="str">
        <f>RTD("rtdtrading.rtdserver",, "BBAS3_B_0", "EST")</f>
        <v>Pré-Fechamento</v>
      </c>
      <c r="AO12" t="str">
        <f>RTD("rtdtrading.rtdserver",, "BBAS3_B_0", "BLACK")</f>
        <v>-</v>
      </c>
      <c r="AP12" t="str">
        <f>RTD("rtdtrading.rtdserver",, "BBAS3_B_0", "IMPVT")</f>
        <v>-</v>
      </c>
      <c r="AQ12" t="str">
        <f>RTD("rtdtrading.rtdserver",, "BBAS3_B_0", "DELTA")</f>
        <v>-</v>
      </c>
      <c r="AR12" t="str">
        <f>RTD("rtdtrading.rtdserver",, "BBAS3_B_0", "GAMA")</f>
        <v>-</v>
      </c>
      <c r="AS12" t="str">
        <f>RTD("rtdtrading.rtdserver",, "BBAS3_B_0", "THETA")</f>
        <v>-</v>
      </c>
      <c r="AT12" t="str">
        <f>RTD("rtdtrading.rtdserver",, "BBAS3_B_0", "RHO")</f>
        <v>-</v>
      </c>
      <c r="AU12" t="str">
        <f>RTD("rtdtrading.rtdserver",, "BBAS3_B_0", "VEGA")</f>
        <v>-</v>
      </c>
      <c r="AV12" t="str">
        <f>RTD("rtdtrading.rtdserver",, "BBAS3_B_0", "VIA")</f>
        <v>-</v>
      </c>
      <c r="AW12" t="str">
        <f>RTD("rtdtrading.rtdserver",, "BBAS3_B_0", "VIB")</f>
        <v>-</v>
      </c>
      <c r="AX12" t="str">
        <f>RTD("rtdtrading.rtdserver",, "BBAS3_B_0", "DOBRAR")</f>
        <v>-</v>
      </c>
      <c r="AY12" t="str">
        <f>RTD("rtdtrading.rtdserver",, "BBAS3_B_0", "VIVH")</f>
        <v>-</v>
      </c>
      <c r="AZ12" t="str">
        <f>RTD("rtdtrading.rtdserver",, "BBAS3_B_0", "VINT")</f>
        <v>-</v>
      </c>
      <c r="BA12" t="str">
        <f>RTD("rtdtrading.rtdserver",, "BBAS3_B_0", "VEXT")</f>
        <v>-</v>
      </c>
    </row>
    <row r="13" spans="3:53" x14ac:dyDescent="0.25">
      <c r="C13" t="s">
        <v>172</v>
      </c>
      <c r="D13" t="str">
        <f>RTD("rtdtrading.rtdserver",, "DOLFUT_F_0", "DAT")</f>
        <v>15/10/2025</v>
      </c>
      <c r="E13" t="str">
        <f>RTD("rtdtrading.rtdserver",, "DOLFUT_F_0", "HOR")</f>
        <v>09:23:25</v>
      </c>
      <c r="F13">
        <f>RTD("rtdtrading.rtdserver",, "DOLFUT_F_0", "ULT")</f>
        <v>5489.5</v>
      </c>
      <c r="G13">
        <f>RTD("rtdtrading.rtdserver",, "DOLFUT_F_0", "ABE")</f>
        <v>5484</v>
      </c>
      <c r="H13">
        <f>RTD("rtdtrading.rtdserver",, "DOLFUT_F_0", "MAX")</f>
        <v>5493</v>
      </c>
      <c r="I13">
        <f>RTD("rtdtrading.rtdserver",, "DOLFUT_F_0", "MIN")</f>
        <v>5479</v>
      </c>
      <c r="J13">
        <f>RTD("rtdtrading.rtdserver",, "DOLFUT_F_0", "FEC")</f>
        <v>5497.5</v>
      </c>
      <c r="K13">
        <f>RTD("rtdtrading.rtdserver",, "DOLFUT_F_0", "PEX")</f>
        <v>0</v>
      </c>
      <c r="L13">
        <f>RTD("rtdtrading.rtdserver",, "DOLFUT_F_0", "VAR")</f>
        <v>-0.14552069122328329</v>
      </c>
      <c r="M13">
        <f>RTD("rtdtrading.rtdserver",, "DOLFUT_F_0", "VARPTS")</f>
        <v>-8</v>
      </c>
      <c r="N13">
        <f>RTD("rtdtrading.rtdserver",, "DOLFUT_F_0", "MED")</f>
        <v>5486.2828083989498</v>
      </c>
      <c r="O13" t="s">
        <v>173</v>
      </c>
      <c r="P13">
        <f>RTD("rtdtrading.rtdserver",, "DOLFUT_F_0", "NEG")</f>
        <v>1343</v>
      </c>
      <c r="Q13">
        <f>RTD("rtdtrading.rtdserver",, "DOLFUT_F_0", "QUL")</f>
        <v>5</v>
      </c>
      <c r="R13">
        <f>RTD("rtdtrading.rtdserver",, "DOLFUT_F_0", "QTT")</f>
        <v>11430</v>
      </c>
      <c r="S13">
        <f>RTD("rtdtrading.rtdserver",, "DOLFUT_F_0", "VOL")</f>
        <v>3135410625</v>
      </c>
      <c r="T13">
        <f>RTD("rtdtrading.rtdserver",, "DOLFUT_F_0", "OCP")</f>
        <v>5489</v>
      </c>
      <c r="U13">
        <f>RTD("rtdtrading.rtdserver",, "DOLFUT_F_0", "OVD")</f>
        <v>5490</v>
      </c>
      <c r="V13">
        <f>RTD("rtdtrading.rtdserver",, "DOLFUT_F_0", "VOC")</f>
        <v>30</v>
      </c>
      <c r="W13">
        <f>RTD("rtdtrading.rtdserver",, "DOLFUT_F_0", "VOV")</f>
        <v>55</v>
      </c>
      <c r="X13">
        <f>RTD("rtdtrading.rtdserver",, "DOLFUT_F_0", "AJU")</f>
        <v>0</v>
      </c>
      <c r="Y13">
        <f>RTD("rtdtrading.rtdserver",, "DOLFUT_F_0", "AJA")</f>
        <v>5489.0649999999996</v>
      </c>
      <c r="Z13">
        <f>RTD("rtdtrading.rtdserver",, "DOLFUT_F_0", "PRT")</f>
        <v>0</v>
      </c>
      <c r="AA13">
        <f>RTD("rtdtrading.rtdserver",, "DOLFUT_F_0", "QTE")</f>
        <v>0</v>
      </c>
      <c r="AB13">
        <f>RTD("rtdtrading.rtdserver",, "DOLFUT_F_0", "VPJ")</f>
        <v>86440632114.853104</v>
      </c>
      <c r="AC13">
        <f>RTD("rtdtrading.rtdserver",, "DOLFUT_F_0", "SEM")</f>
        <v>-1.2502248605864363</v>
      </c>
      <c r="AD13">
        <f>RTD("rtdtrading.rtdserver",, "DOLFUT_F_0", "MES")</f>
        <v>2.4255994029293779</v>
      </c>
      <c r="AE13">
        <f>RTD("rtdtrading.rtdserver",, "DOLFUT_F_0", "3M")</f>
        <v>-3.725892830715499</v>
      </c>
      <c r="AF13">
        <f>RTD("rtdtrading.rtdserver",, "DOLFUT_F_0", "6M")</f>
        <v>-10.594876512648334</v>
      </c>
      <c r="AG13">
        <f>RTD("rtdtrading.rtdserver",, "DOLFUT_F_0", "12M")</f>
        <v>-9.2975802872927567</v>
      </c>
      <c r="AH13">
        <f>RTD("rtdtrading.rtdserver",, "DOLFUT_F_0", "ANO")</f>
        <v>-16.787183013643297</v>
      </c>
      <c r="AI13">
        <f>RTD("rtdtrading.rtdserver",, "DOLFUT_F_0", "TRIM")</f>
        <v>2.4255994029293779</v>
      </c>
      <c r="AJ13">
        <f>RTD("rtdtrading.rtdserver",, "DOLFUT_F_0", "SEMES")</f>
        <v>-1.9759341034569677</v>
      </c>
      <c r="AK13" t="str">
        <f>RTD("rtdtrading.rtdserver",, "DOLFUT_F_0", "VEN")</f>
        <v>03/11/2025</v>
      </c>
      <c r="AL13" t="str">
        <f>RTD("rtdtrading.rtdserver",, "DOLFUT_F_0", "VAL")</f>
        <v>31/10/2025</v>
      </c>
      <c r="AM13">
        <f>RTD("rtdtrading.rtdserver",, "DOLFUT_F_0", "CAB")</f>
        <v>826950</v>
      </c>
      <c r="AN13" t="str">
        <f>RTD("rtdtrading.rtdserver",, "DOLFUT_F_0", "EST")</f>
        <v>Aberto</v>
      </c>
      <c r="AO13" t="str">
        <f>RTD("rtdtrading.rtdserver",, "DOLFUT_F_0", "BLACK")</f>
        <v>-</v>
      </c>
      <c r="AP13" t="str">
        <f>RTD("rtdtrading.rtdserver",, "DOLFUT_F_0", "IMPVT")</f>
        <v>-</v>
      </c>
      <c r="AQ13" t="str">
        <f>RTD("rtdtrading.rtdserver",, "DOLFUT_F_0", "DELTA")</f>
        <v>-</v>
      </c>
      <c r="AR13" t="str">
        <f>RTD("rtdtrading.rtdserver",, "DOLFUT_F_0", "GAMA")</f>
        <v>-</v>
      </c>
      <c r="AS13" t="str">
        <f>RTD("rtdtrading.rtdserver",, "DOLFUT_F_0", "THETA")</f>
        <v>-</v>
      </c>
      <c r="AT13" t="str">
        <f>RTD("rtdtrading.rtdserver",, "DOLFUT_F_0", "RHO")</f>
        <v>-</v>
      </c>
      <c r="AU13" t="str">
        <f>RTD("rtdtrading.rtdserver",, "DOLFUT_F_0", "VEGA")</f>
        <v>-</v>
      </c>
      <c r="AV13" t="str">
        <f>RTD("rtdtrading.rtdserver",, "DOLFUT_F_0", "VIA")</f>
        <v>-</v>
      </c>
      <c r="AW13" t="str">
        <f>RTD("rtdtrading.rtdserver",, "DOLFUT_F_0", "VIB")</f>
        <v>-</v>
      </c>
      <c r="AX13" t="str">
        <f>RTD("rtdtrading.rtdserver",, "DOLFUT_F_0", "DOBRAR")</f>
        <v>-</v>
      </c>
      <c r="AY13" t="str">
        <f>RTD("rtdtrading.rtdserver",, "DOLFUT_F_0", "VIVH")</f>
        <v>-</v>
      </c>
      <c r="AZ13" t="str">
        <f>RTD("rtdtrading.rtdserver",, "DOLFUT_F_0", "VINT")</f>
        <v>-</v>
      </c>
      <c r="BA13" t="str">
        <f>RTD("rtdtrading.rtdserver",, "DOLFUT_F_0", "VEXT")</f>
        <v>-</v>
      </c>
    </row>
    <row r="14" spans="3:53" x14ac:dyDescent="0.25">
      <c r="C14" t="s">
        <v>175</v>
      </c>
      <c r="D14" t="str">
        <f>RTD("rtdtrading.rtdserver",, "DOLPT_E_0", "DAT")</f>
        <v>14/10/2025</v>
      </c>
      <c r="E14" t="str">
        <f>RTD("rtdtrading.rtdserver",, "DOLPT_E_0", "HOR")</f>
        <v>00:00:00</v>
      </c>
      <c r="F14">
        <f>RTD("rtdtrading.rtdserver",, "DOLPT_E_0", "ULT")</f>
        <v>5.4976000000000003</v>
      </c>
      <c r="G14">
        <f>RTD("rtdtrading.rtdserver",, "DOLPT_E_0", "ABE")</f>
        <v>5.4976000000000003</v>
      </c>
      <c r="H14">
        <f>RTD("rtdtrading.rtdserver",, "DOLPT_E_0", "MAX")</f>
        <v>5.4976000000000003</v>
      </c>
      <c r="I14">
        <f>RTD("rtdtrading.rtdserver",, "DOLPT_E_0", "MIN")</f>
        <v>5.4976000000000003</v>
      </c>
      <c r="J14">
        <f>RTD("rtdtrading.rtdserver",, "DOLPT_E_0", "FEC")</f>
        <v>5.4622999999999999</v>
      </c>
      <c r="K14">
        <f>RTD("rtdtrading.rtdserver",, "DOLPT_E_0", "PEX")</f>
        <v>0</v>
      </c>
      <c r="L14">
        <f>RTD("rtdtrading.rtdserver",, "DOLPT_E_0", "VAR")</f>
        <v>0.64624791754389788</v>
      </c>
      <c r="M14">
        <f>RTD("rtdtrading.rtdserver",, "DOLPT_E_0", "VARPTS")</f>
        <v>3.5300000000000331E-2</v>
      </c>
      <c r="N14">
        <f>RTD("rtdtrading.rtdserver",, "DOLPT_E_0", "MED")</f>
        <v>5.4976000000000003</v>
      </c>
      <c r="O14" t="s">
        <v>176</v>
      </c>
      <c r="P14">
        <f>RTD("rtdtrading.rtdserver",, "DOLPT_E_0", "NEG")</f>
        <v>0</v>
      </c>
      <c r="Q14">
        <f>RTD("rtdtrading.rtdserver",, "DOLPT_E_0", "QUL")</f>
        <v>0</v>
      </c>
      <c r="R14">
        <f>RTD("rtdtrading.rtdserver",, "DOLPT_E_0", "QTT")</f>
        <v>0</v>
      </c>
      <c r="S14">
        <f>RTD("rtdtrading.rtdserver",, "DOLPT_E_0", "VOL")</f>
        <v>0</v>
      </c>
      <c r="T14">
        <f>RTD("rtdtrading.rtdserver",, "DOLPT_E_0", "OCP")</f>
        <v>0</v>
      </c>
      <c r="U14">
        <f>RTD("rtdtrading.rtdserver",, "DOLPT_E_0", "OVD")</f>
        <v>0</v>
      </c>
      <c r="V14">
        <f>RTD("rtdtrading.rtdserver",, "DOLPT_E_0", "VOC")</f>
        <v>0</v>
      </c>
      <c r="W14">
        <f>RTD("rtdtrading.rtdserver",, "DOLPT_E_0", "VOV")</f>
        <v>0</v>
      </c>
      <c r="X14">
        <f>RTD("rtdtrading.rtdserver",, "DOLPT_E_0", "AJU")</f>
        <v>0</v>
      </c>
      <c r="Y14">
        <f>RTD("rtdtrading.rtdserver",, "DOLPT_E_0", "AJA")</f>
        <v>0</v>
      </c>
      <c r="Z14">
        <f>RTD("rtdtrading.rtdserver",, "DOLPT_E_0", "PRT")</f>
        <v>0</v>
      </c>
      <c r="AA14">
        <f>RTD("rtdtrading.rtdserver",, "DOLPT_E_0", "QTE")</f>
        <v>0</v>
      </c>
      <c r="AB14">
        <f>RTD("rtdtrading.rtdserver",, "DOLPT_E_0", "VPJ")</f>
        <v>0</v>
      </c>
      <c r="AC14">
        <f>RTD("rtdtrading.rtdserver",, "DOLPT_E_0", "SEM")</f>
        <v>0.984570168993393</v>
      </c>
      <c r="AD14">
        <f>RTD("rtdtrading.rtdserver",, "DOLPT_E_0", "MES")</f>
        <v>3.377209477247098</v>
      </c>
      <c r="AE14">
        <f>RTD("rtdtrading.rtdserver",, "DOLPT_E_0", "3M")</f>
        <v>-1.1027361528359794</v>
      </c>
      <c r="AF14">
        <f>RTD("rtdtrading.rtdserver",, "DOLPT_E_0", "6M")</f>
        <v>-6.3935570652636553</v>
      </c>
      <c r="AG14">
        <f>RTD("rtdtrading.rtdserver",, "DOLPT_E_0", "12M")</f>
        <v>-2.2770499671152011</v>
      </c>
      <c r="AH14">
        <f>RTD("rtdtrading.rtdserver",, "DOLPT_E_0", "ANO")</f>
        <v>-11.210168451313852</v>
      </c>
      <c r="AI14">
        <f>RTD("rtdtrading.rtdserver",, "DOLPT_E_0", "TRIM")</f>
        <v>3.377209477247098</v>
      </c>
      <c r="AJ14">
        <f>RTD("rtdtrading.rtdserver",, "DOLPT_E_0", "SEMES")</f>
        <v>0.75323009255017204</v>
      </c>
      <c r="AK14" t="str">
        <f>RTD("rtdtrading.rtdserver",, "DOLPT_E_0", "VEN")</f>
        <v>-</v>
      </c>
      <c r="AL14" t="str">
        <f>RTD("rtdtrading.rtdserver",, "DOLPT_E_0", "VAL")</f>
        <v>30/12/1899</v>
      </c>
      <c r="AM14">
        <f>RTD("rtdtrading.rtdserver",, "DOLPT_E_0", "CAB")</f>
        <v>0</v>
      </c>
      <c r="AN14" t="str">
        <f>RTD("rtdtrading.rtdserver",, "DOLPT_E_0", "EST")</f>
        <v>Fechado</v>
      </c>
      <c r="AO14" t="str">
        <f>RTD("rtdtrading.rtdserver",, "DOLPT_E_0", "BLACK")</f>
        <v>-</v>
      </c>
      <c r="AP14" t="str">
        <f>RTD("rtdtrading.rtdserver",, "DOLPT_E_0", "IMPVT")</f>
        <v>-</v>
      </c>
      <c r="AQ14" t="str">
        <f>RTD("rtdtrading.rtdserver",, "DOLPT_E_0", "DELTA")</f>
        <v>-</v>
      </c>
      <c r="AR14" t="str">
        <f>RTD("rtdtrading.rtdserver",, "DOLPT_E_0", "GAMA")</f>
        <v>-</v>
      </c>
      <c r="AS14" t="str">
        <f>RTD("rtdtrading.rtdserver",, "DOLPT_E_0", "THETA")</f>
        <v>-</v>
      </c>
      <c r="AT14" t="str">
        <f>RTD("rtdtrading.rtdserver",, "DOLPT_E_0", "RHO")</f>
        <v>-</v>
      </c>
      <c r="AU14" t="str">
        <f>RTD("rtdtrading.rtdserver",, "DOLPT_E_0", "VEGA")</f>
        <v>-</v>
      </c>
      <c r="AV14" t="str">
        <f>RTD("rtdtrading.rtdserver",, "DOLPT_E_0", "VIA")</f>
        <v>-</v>
      </c>
      <c r="AW14" t="str">
        <f>RTD("rtdtrading.rtdserver",, "DOLPT_E_0", "VIB")</f>
        <v>-</v>
      </c>
      <c r="AX14" t="str">
        <f>RTD("rtdtrading.rtdserver",, "DOLPT_E_0", "DOBRAR")</f>
        <v>-</v>
      </c>
      <c r="AY14" t="str">
        <f>RTD("rtdtrading.rtdserver",, "DOLPT_E_0", "VIVH")</f>
        <v>-</v>
      </c>
      <c r="AZ14" t="str">
        <f>RTD("rtdtrading.rtdserver",, "DOLPT_E_0", "VINT")</f>
        <v>-</v>
      </c>
      <c r="BA14" t="str">
        <f>RTD("rtdtrading.rtdserver",, "DOLPT_E_0", "VEXT")</f>
        <v>-</v>
      </c>
    </row>
    <row r="15" spans="3:53" x14ac:dyDescent="0.25">
      <c r="C15" t="s">
        <v>180</v>
      </c>
      <c r="D15" t="str">
        <f>RTD("rtdtrading.rtdserver",, "INDFUT_F_0", "DAT")</f>
        <v>15/10/2025</v>
      </c>
      <c r="E15" t="str">
        <f>RTD("rtdtrading.rtdserver",, "INDFUT_F_0", "HOR")</f>
        <v>09:23:05</v>
      </c>
      <c r="F15">
        <f>RTD("rtdtrading.rtdserver",, "INDFUT_F_0", "ULT")</f>
        <v>144740</v>
      </c>
      <c r="G15">
        <f>RTD("rtdtrading.rtdserver",, "INDFUT_F_0", "ABE")</f>
        <v>145070</v>
      </c>
      <c r="H15">
        <f>RTD("rtdtrading.rtdserver",, "INDFUT_F_0", "MAX")</f>
        <v>145385</v>
      </c>
      <c r="I15">
        <f>RTD("rtdtrading.rtdserver",, "INDFUT_F_0", "MIN")</f>
        <v>144685</v>
      </c>
      <c r="J15">
        <f>RTD("rtdtrading.rtdserver",, "INDFUT_F_0", "FEC")</f>
        <v>144865</v>
      </c>
      <c r="K15">
        <f>RTD("rtdtrading.rtdserver",, "INDFUT_F_0", "PEX")</f>
        <v>0</v>
      </c>
      <c r="L15">
        <f>RTD("rtdtrading.rtdserver",, "INDFUT_F_0", "VAR")</f>
        <v>-8.6287232941014036E-2</v>
      </c>
      <c r="M15">
        <f>RTD("rtdtrading.rtdserver",, "INDFUT_F_0", "VARPTS")</f>
        <v>-125</v>
      </c>
      <c r="N15">
        <f>RTD("rtdtrading.rtdserver",, "INDFUT_F_0", "MED")</f>
        <v>145005.91070372562</v>
      </c>
      <c r="O15" t="s">
        <v>181</v>
      </c>
      <c r="P15">
        <f>RTD("rtdtrading.rtdserver",, "INDFUT_F_0", "NEG")</f>
        <v>1556</v>
      </c>
      <c r="Q15">
        <f>RTD("rtdtrading.rtdserver",, "INDFUT_F_0", "QUL")</f>
        <v>5</v>
      </c>
      <c r="R15">
        <f>RTD("rtdtrading.rtdserver",, "INDFUT_F_0", "QTT")</f>
        <v>8455</v>
      </c>
      <c r="S15">
        <f>RTD("rtdtrading.rtdserver",, "INDFUT_F_0", "VOL")</f>
        <v>1226024975</v>
      </c>
      <c r="T15">
        <f>RTD("rtdtrading.rtdserver",, "INDFUT_F_0", "OCP")</f>
        <v>144705</v>
      </c>
      <c r="U15">
        <f>RTD("rtdtrading.rtdserver",, "INDFUT_F_0", "OVD")</f>
        <v>144720</v>
      </c>
      <c r="V15">
        <f>RTD("rtdtrading.rtdserver",, "INDFUT_F_0", "VOC")</f>
        <v>10</v>
      </c>
      <c r="W15">
        <f>RTD("rtdtrading.rtdserver",, "INDFUT_F_0", "VOV")</f>
        <v>5</v>
      </c>
      <c r="X15">
        <f>RTD("rtdtrading.rtdserver",, "INDFUT_F_0", "AJU")</f>
        <v>0</v>
      </c>
      <c r="Y15">
        <f>RTD("rtdtrading.rtdserver",, "INDFUT_F_0", "AJA")</f>
        <v>141688</v>
      </c>
      <c r="Z15">
        <f>RTD("rtdtrading.rtdserver",, "INDFUT_F_0", "PRT")</f>
        <v>0</v>
      </c>
      <c r="AA15">
        <f>RTD("rtdtrading.rtdserver",, "INDFUT_F_0", "QTE")</f>
        <v>0</v>
      </c>
      <c r="AB15">
        <f>RTD("rtdtrading.rtdserver",, "INDFUT_F_0", "VPJ")</f>
        <v>32044039400.820034</v>
      </c>
      <c r="AC15">
        <f>RTD("rtdtrading.rtdserver",, "INDFUT_F_0", "SEM")</f>
        <v>0.99566627135498287</v>
      </c>
      <c r="AD15">
        <f>RTD("rtdtrading.rtdserver",, "INDFUT_F_0", "MES")</f>
        <v>-3.6284353509861833</v>
      </c>
      <c r="AE15">
        <f>RTD("rtdtrading.rtdserver",, "INDFUT_F_0", "3M")</f>
        <v>1.1477622472720947</v>
      </c>
      <c r="AF15">
        <f>RTD("rtdtrading.rtdserver",, "INDFUT_F_0", "6M")</f>
        <v>3.1480611528181943</v>
      </c>
      <c r="AG15">
        <f>RTD("rtdtrading.rtdserver",, "INDFUT_F_0", "12M")</f>
        <v>-2.643746266491255</v>
      </c>
      <c r="AH15">
        <f>RTD("rtdtrading.rtdserver",, "INDFUT_F_0", "ANO")</f>
        <v>7.7349351405768223</v>
      </c>
      <c r="AI15">
        <f>RTD("rtdtrading.rtdserver",, "INDFUT_F_0", "TRIM")</f>
        <v>-3.6284353509861833</v>
      </c>
      <c r="AJ15">
        <f>RTD("rtdtrading.rtdserver",, "INDFUT_F_0", "SEMES")</f>
        <v>-1.6766328275053362</v>
      </c>
      <c r="AK15" t="str">
        <f>RTD("rtdtrading.rtdserver",, "INDFUT_F_0", "VEN")</f>
        <v>17/12/2025</v>
      </c>
      <c r="AL15" t="str">
        <f>RTD("rtdtrading.rtdserver",, "INDFUT_F_0", "VAL")</f>
        <v>17/12/2025</v>
      </c>
      <c r="AM15">
        <f>RTD("rtdtrading.rtdserver",, "INDFUT_F_0", "CAB")</f>
        <v>210248</v>
      </c>
      <c r="AN15" t="str">
        <f>RTD("rtdtrading.rtdserver",, "INDFUT_F_0", "EST")</f>
        <v>Aberto</v>
      </c>
      <c r="AO15" t="str">
        <f>RTD("rtdtrading.rtdserver",, "INDFUT_F_0", "BLACK")</f>
        <v>-</v>
      </c>
      <c r="AP15" t="str">
        <f>RTD("rtdtrading.rtdserver",, "INDFUT_F_0", "IMPVT")</f>
        <v>-</v>
      </c>
      <c r="AQ15" t="str">
        <f>RTD("rtdtrading.rtdserver",, "INDFUT_F_0", "DELTA")</f>
        <v>-</v>
      </c>
      <c r="AR15" t="str">
        <f>RTD("rtdtrading.rtdserver",, "INDFUT_F_0", "GAMA")</f>
        <v>-</v>
      </c>
      <c r="AS15" t="str">
        <f>RTD("rtdtrading.rtdserver",, "INDFUT_F_0", "THETA")</f>
        <v>-</v>
      </c>
      <c r="AT15" t="str">
        <f>RTD("rtdtrading.rtdserver",, "INDFUT_F_0", "RHO")</f>
        <v>-</v>
      </c>
      <c r="AU15" t="str">
        <f>RTD("rtdtrading.rtdserver",, "INDFUT_F_0", "VEGA")</f>
        <v>-</v>
      </c>
      <c r="AV15" t="str">
        <f>RTD("rtdtrading.rtdserver",, "INDFUT_F_0", "VIA")</f>
        <v>-</v>
      </c>
      <c r="AW15" t="str">
        <f>RTD("rtdtrading.rtdserver",, "INDFUT_F_0", "VIB")</f>
        <v>-</v>
      </c>
      <c r="AX15" t="str">
        <f>RTD("rtdtrading.rtdserver",, "INDFUT_F_0", "DOBRAR")</f>
        <v>-</v>
      </c>
      <c r="AY15" t="str">
        <f>RTD("rtdtrading.rtdserver",, "INDFUT_F_0", "VIVH")</f>
        <v>-</v>
      </c>
      <c r="AZ15" t="str">
        <f>RTD("rtdtrading.rtdserver",, "INDFUT_F_0", "VINT")</f>
        <v>-</v>
      </c>
      <c r="BA15" t="str">
        <f>RTD("rtdtrading.rtdserver",, "INDFUT_F_0", "VEXT")</f>
        <v>-</v>
      </c>
    </row>
    <row r="16" spans="3:53" x14ac:dyDescent="0.25">
      <c r="C16" t="s">
        <v>184</v>
      </c>
      <c r="D16" t="str">
        <f>RTD("rtdtrading.rtdserver",, "MRVE3_B_0", "DAT")</f>
        <v>14/10/2025</v>
      </c>
      <c r="E16" t="str">
        <f>RTD("rtdtrading.rtdserver",, "MRVE3_B_0", "HOR")</f>
        <v>17:07:55</v>
      </c>
      <c r="F16">
        <f>RTD("rtdtrading.rtdserver",, "MRVE3_B_0", "ULT")</f>
        <v>6.24</v>
      </c>
      <c r="G16">
        <f>RTD("rtdtrading.rtdserver",, "MRVE3_B_0", "ABE")</f>
        <v>6.17</v>
      </c>
      <c r="H16">
        <f>RTD("rtdtrading.rtdserver",, "MRVE3_B_0", "MAX")</f>
        <v>6.26</v>
      </c>
      <c r="I16">
        <f>RTD("rtdtrading.rtdserver",, "MRVE3_B_0", "MIN")</f>
        <v>6.11</v>
      </c>
      <c r="J16">
        <f>RTD("rtdtrading.rtdserver",, "MRVE3_B_0", "FEC")</f>
        <v>6.2200000000000006</v>
      </c>
      <c r="K16">
        <f>RTD("rtdtrading.rtdserver",, "MRVE3_B_0", "PEX")</f>
        <v>0</v>
      </c>
      <c r="L16">
        <f>RTD("rtdtrading.rtdserver",, "MRVE3_B_0", "VAR")</f>
        <v>0.32154340836012174</v>
      </c>
      <c r="M16">
        <f>RTD("rtdtrading.rtdserver",, "MRVE3_B_0", "VARPTS")</f>
        <v>1.9999999999999574E-2</v>
      </c>
      <c r="N16">
        <f>RTD("rtdtrading.rtdserver",, "MRVE3_B_0", "MED")</f>
        <v>6.2049950631025261</v>
      </c>
      <c r="O16" t="s">
        <v>185</v>
      </c>
      <c r="P16">
        <f>RTD("rtdtrading.rtdserver",, "MRVE3_B_0", "NEG")</f>
        <v>7711</v>
      </c>
      <c r="Q16">
        <f>RTD("rtdtrading.rtdserver",, "MRVE3_B_0", "QUL")</f>
        <v>0</v>
      </c>
      <c r="R16">
        <f>RTD("rtdtrading.rtdserver",, "MRVE3_B_0", "QTT")</f>
        <v>5570300</v>
      </c>
      <c r="S16">
        <f>RTD("rtdtrading.rtdserver",, "MRVE3_B_0", "VOL")</f>
        <v>34563684</v>
      </c>
      <c r="T16">
        <f>RTD("rtdtrading.rtdserver",, "MRVE3_B_0", "OCP")</f>
        <v>6.2</v>
      </c>
      <c r="U16">
        <f>RTD("rtdtrading.rtdserver",, "MRVE3_B_0", "OVD")</f>
        <v>6.26</v>
      </c>
      <c r="V16">
        <f>RTD("rtdtrading.rtdserver",, "MRVE3_B_0", "VOC")</f>
        <v>500</v>
      </c>
      <c r="W16">
        <f>RTD("rtdtrading.rtdserver",, "MRVE3_B_0", "VOV")</f>
        <v>7000</v>
      </c>
      <c r="X16">
        <f>RTD("rtdtrading.rtdserver",, "MRVE3_B_0", "AJU")</f>
        <v>0</v>
      </c>
      <c r="Y16">
        <f>RTD("rtdtrading.rtdserver",, "MRVE3_B_0", "AJA")</f>
        <v>0</v>
      </c>
      <c r="Z16">
        <f>RTD("rtdtrading.rtdserver",, "MRVE3_B_0", "PRT")</f>
        <v>0</v>
      </c>
      <c r="AA16">
        <f>RTD("rtdtrading.rtdserver",, "MRVE3_B_0", "QTE")</f>
        <v>0</v>
      </c>
      <c r="AB16">
        <f>RTD("rtdtrading.rtdserver",, "MRVE3_B_0", "VPJ")</f>
        <v>34563684</v>
      </c>
      <c r="AC16">
        <f>RTD("rtdtrading.rtdserver",, "MRVE3_B_0", "SEM")</f>
        <v>-0.31948881789138117</v>
      </c>
      <c r="AD16">
        <f>RTD("rtdtrading.rtdserver",, "MRVE3_B_0", "MES")</f>
        <v>-16.241610738255034</v>
      </c>
      <c r="AE16">
        <f>RTD("rtdtrading.rtdserver",, "MRVE3_B_0", "3M")</f>
        <v>-0.4784688995215351</v>
      </c>
      <c r="AF16">
        <f>RTD("rtdtrading.rtdserver",, "MRVE3_B_0", "6M")</f>
        <v>26.57200811359025</v>
      </c>
      <c r="AG16">
        <f>RTD("rtdtrading.rtdserver",, "MRVE3_B_0", "12M")</f>
        <v>-15.217391304347828</v>
      </c>
      <c r="AH16">
        <f>RTD("rtdtrading.rtdserver",, "MRVE3_B_0", "ANO")</f>
        <v>17.514124293785304</v>
      </c>
      <c r="AI16">
        <f>RTD("rtdtrading.rtdserver",, "MRVE3_B_0", "TRIM")</f>
        <v>-16.241610738255034</v>
      </c>
      <c r="AJ16">
        <f>RTD("rtdtrading.rtdserver",, "MRVE3_B_0", "SEMES")</f>
        <v>-2.0408163265306105</v>
      </c>
      <c r="AK16" t="str">
        <f>RTD("rtdtrading.rtdserver",, "MRVE3_B_0", "VEN")</f>
        <v>-</v>
      </c>
      <c r="AL16" t="str">
        <f>RTD("rtdtrading.rtdserver",, "MRVE3_B_0", "VAL")</f>
        <v>31/12/9999</v>
      </c>
      <c r="AM16">
        <f>RTD("rtdtrading.rtdserver",, "MRVE3_B_0", "CAB")</f>
        <v>0</v>
      </c>
      <c r="AN16" t="str">
        <f>RTD("rtdtrading.rtdserver",, "MRVE3_B_0", "EST")</f>
        <v>Pré-Fechamento</v>
      </c>
      <c r="AO16" t="str">
        <f>RTD("rtdtrading.rtdserver",, "MRVE3_B_0", "BLACK")</f>
        <v>-</v>
      </c>
      <c r="AP16" t="str">
        <f>RTD("rtdtrading.rtdserver",, "MRVE3_B_0", "IMPVT")</f>
        <v>-</v>
      </c>
      <c r="AQ16" t="str">
        <f>RTD("rtdtrading.rtdserver",, "MRVE3_B_0", "DELTA")</f>
        <v>-</v>
      </c>
      <c r="AR16" t="str">
        <f>RTD("rtdtrading.rtdserver",, "MRVE3_B_0", "GAMA")</f>
        <v>-</v>
      </c>
      <c r="AS16" t="str">
        <f>RTD("rtdtrading.rtdserver",, "MRVE3_B_0", "THETA")</f>
        <v>-</v>
      </c>
      <c r="AT16" t="str">
        <f>RTD("rtdtrading.rtdserver",, "MRVE3_B_0", "RHO")</f>
        <v>-</v>
      </c>
      <c r="AU16" t="str">
        <f>RTD("rtdtrading.rtdserver",, "MRVE3_B_0", "VEGA")</f>
        <v>-</v>
      </c>
      <c r="AV16" t="str">
        <f>RTD("rtdtrading.rtdserver",, "MRVE3_B_0", "VIA")</f>
        <v>-</v>
      </c>
      <c r="AW16" t="str">
        <f>RTD("rtdtrading.rtdserver",, "MRVE3_B_0", "VIB")</f>
        <v>-</v>
      </c>
      <c r="AX16" t="str">
        <f>RTD("rtdtrading.rtdserver",, "MRVE3_B_0", "DOBRAR")</f>
        <v>-</v>
      </c>
      <c r="AY16" t="str">
        <f>RTD("rtdtrading.rtdserver",, "MRVE3_B_0", "VIVH")</f>
        <v>-</v>
      </c>
      <c r="AZ16" t="str">
        <f>RTD("rtdtrading.rtdserver",, "MRVE3_B_0", "VINT")</f>
        <v>-</v>
      </c>
      <c r="BA16" t="str">
        <f>RTD("rtdtrading.rtdserver",, "MRVE3_B_0", "VEXT")</f>
        <v>-</v>
      </c>
    </row>
    <row r="17" spans="3:53" x14ac:dyDescent="0.25">
      <c r="C17" t="s">
        <v>188</v>
      </c>
      <c r="D17" t="str">
        <f>RTD("rtdtrading.rtdserver",, "GOAU4_B_0", "DAT")</f>
        <v>14/10/2025</v>
      </c>
      <c r="E17" t="str">
        <f>RTD("rtdtrading.rtdserver",, "GOAU4_B_0", "HOR")</f>
        <v>17:59:53</v>
      </c>
      <c r="F17">
        <f>RTD("rtdtrading.rtdserver",, "GOAU4_B_0", "ULT")</f>
        <v>10.24</v>
      </c>
      <c r="G17">
        <f>RTD("rtdtrading.rtdserver",, "GOAU4_B_0", "ABE")</f>
        <v>10.16</v>
      </c>
      <c r="H17">
        <f>RTD("rtdtrading.rtdserver",, "GOAU4_B_0", "MAX")</f>
        <v>10.32</v>
      </c>
      <c r="I17">
        <f>RTD("rtdtrading.rtdserver",, "GOAU4_B_0", "MIN")</f>
        <v>10.14</v>
      </c>
      <c r="J17">
        <f>RTD("rtdtrading.rtdserver",, "GOAU4_B_0", "FEC")</f>
        <v>10.25</v>
      </c>
      <c r="K17">
        <f>RTD("rtdtrading.rtdserver",, "GOAU4_B_0", "PEX")</f>
        <v>0</v>
      </c>
      <c r="L17">
        <f>RTD("rtdtrading.rtdserver",, "GOAU4_B_0", "VAR")</f>
        <v>-9.7560975609754019E-2</v>
      </c>
      <c r="M17">
        <f>RTD("rtdtrading.rtdserver",, "GOAU4_B_0", "VARPTS")</f>
        <v>-9.9999999999997868E-3</v>
      </c>
      <c r="N17">
        <f>RTD("rtdtrading.rtdserver",, "GOAU4_B_0", "MED")</f>
        <v>10.256454830712016</v>
      </c>
      <c r="O17" t="s">
        <v>189</v>
      </c>
      <c r="P17">
        <f>RTD("rtdtrading.rtdserver",, "GOAU4_B_0", "NEG")</f>
        <v>7226</v>
      </c>
      <c r="Q17">
        <f>RTD("rtdtrading.rtdserver",, "GOAU4_B_0", "QUL")</f>
        <v>0</v>
      </c>
      <c r="R17">
        <f>RTD("rtdtrading.rtdserver",, "GOAU4_B_0", "QTT")</f>
        <v>5162800</v>
      </c>
      <c r="S17">
        <f>RTD("rtdtrading.rtdserver",, "GOAU4_B_0", "VOL")</f>
        <v>52952025</v>
      </c>
      <c r="T17">
        <f>RTD("rtdtrading.rtdserver",, "GOAU4_B_0", "OCP")</f>
        <v>10.15</v>
      </c>
      <c r="U17">
        <f>RTD("rtdtrading.rtdserver",, "GOAU4_B_0", "OVD")</f>
        <v>10.290000000000001</v>
      </c>
      <c r="V17">
        <f>RTD("rtdtrading.rtdserver",, "GOAU4_B_0", "VOC")</f>
        <v>100</v>
      </c>
      <c r="W17">
        <f>RTD("rtdtrading.rtdserver",, "GOAU4_B_0", "VOV")</f>
        <v>100</v>
      </c>
      <c r="X17">
        <f>RTD("rtdtrading.rtdserver",, "GOAU4_B_0", "AJU")</f>
        <v>0</v>
      </c>
      <c r="Y17">
        <f>RTD("rtdtrading.rtdserver",, "GOAU4_B_0", "AJA")</f>
        <v>0</v>
      </c>
      <c r="Z17">
        <f>RTD("rtdtrading.rtdserver",, "GOAU4_B_0", "PRT")</f>
        <v>0</v>
      </c>
      <c r="AA17">
        <f>RTD("rtdtrading.rtdserver",, "GOAU4_B_0", "QTE")</f>
        <v>0</v>
      </c>
      <c r="AB17">
        <f>RTD("rtdtrading.rtdserver",, "GOAU4_B_0", "VPJ")</f>
        <v>52952025</v>
      </c>
      <c r="AC17">
        <f>RTD("rtdtrading.rtdserver",, "GOAU4_B_0", "SEM")</f>
        <v>1.9920318725099528</v>
      </c>
      <c r="AD17">
        <f>RTD("rtdtrading.rtdserver",, "GOAU4_B_0", "MES")</f>
        <v>7.5630252100840405</v>
      </c>
      <c r="AE17">
        <f>RTD("rtdtrading.rtdserver",, "GOAU4_B_0", "3M")</f>
        <v>10.844103829750376</v>
      </c>
      <c r="AF17">
        <f>RTD("rtdtrading.rtdserver",, "GOAU4_B_0", "6M")</f>
        <v>27.825837296683254</v>
      </c>
      <c r="AG17">
        <f>RTD("rtdtrading.rtdserver",, "GOAU4_B_0", "12M")</f>
        <v>1.3620525815647673</v>
      </c>
      <c r="AH17">
        <f>RTD("rtdtrading.rtdserver",, "GOAU4_B_0", "ANO")</f>
        <v>2.3181454836131028</v>
      </c>
      <c r="AI17">
        <f>RTD("rtdtrading.rtdserver",, "GOAU4_B_0", "TRIM")</f>
        <v>7.5630252100840405</v>
      </c>
      <c r="AJ17">
        <f>RTD("rtdtrading.rtdserver",, "GOAU4_B_0", "SEMES")</f>
        <v>15.683992905317613</v>
      </c>
      <c r="AK17" t="str">
        <f>RTD("rtdtrading.rtdserver",, "GOAU4_B_0", "VEN")</f>
        <v>-</v>
      </c>
      <c r="AL17" t="str">
        <f>RTD("rtdtrading.rtdserver",, "GOAU4_B_0", "VAL")</f>
        <v>31/12/9999</v>
      </c>
      <c r="AM17">
        <f>RTD("rtdtrading.rtdserver",, "GOAU4_B_0", "CAB")</f>
        <v>0</v>
      </c>
      <c r="AN17" t="str">
        <f>RTD("rtdtrading.rtdserver",, "GOAU4_B_0", "EST")</f>
        <v>Pré-Fechamento</v>
      </c>
      <c r="AO17" t="str">
        <f>RTD("rtdtrading.rtdserver",, "GOAU4_B_0", "BLACK")</f>
        <v>-</v>
      </c>
      <c r="AP17" t="str">
        <f>RTD("rtdtrading.rtdserver",, "GOAU4_B_0", "IMPVT")</f>
        <v>-</v>
      </c>
      <c r="AQ17" t="str">
        <f>RTD("rtdtrading.rtdserver",, "GOAU4_B_0", "DELTA")</f>
        <v>-</v>
      </c>
      <c r="AR17" t="str">
        <f>RTD("rtdtrading.rtdserver",, "GOAU4_B_0", "GAMA")</f>
        <v>-</v>
      </c>
      <c r="AS17" t="str">
        <f>RTD("rtdtrading.rtdserver",, "GOAU4_B_0", "THETA")</f>
        <v>-</v>
      </c>
      <c r="AT17" t="str">
        <f>RTD("rtdtrading.rtdserver",, "GOAU4_B_0", "RHO")</f>
        <v>-</v>
      </c>
      <c r="AU17" t="str">
        <f>RTD("rtdtrading.rtdserver",, "GOAU4_B_0", "VEGA")</f>
        <v>-</v>
      </c>
      <c r="AV17" t="str">
        <f>RTD("rtdtrading.rtdserver",, "GOAU4_B_0", "VIA")</f>
        <v>-</v>
      </c>
      <c r="AW17" t="str">
        <f>RTD("rtdtrading.rtdserver",, "GOAU4_B_0", "VIB")</f>
        <v>-</v>
      </c>
      <c r="AX17" t="str">
        <f>RTD("rtdtrading.rtdserver",, "GOAU4_B_0", "DOBRAR")</f>
        <v>-</v>
      </c>
      <c r="AY17" t="str">
        <f>RTD("rtdtrading.rtdserver",, "GOAU4_B_0", "VIVH")</f>
        <v>-</v>
      </c>
      <c r="AZ17" t="str">
        <f>RTD("rtdtrading.rtdserver",, "GOAU4_B_0", "VINT")</f>
        <v>-</v>
      </c>
      <c r="BA17" t="str">
        <f>RTD("rtdtrading.rtdserver",, "GOAU4_B_0", "VEXT")</f>
        <v>-</v>
      </c>
    </row>
    <row r="18" spans="3:53" x14ac:dyDescent="0.25">
      <c r="C18" t="s">
        <v>133</v>
      </c>
      <c r="D18" t="str">
        <f>RTD("rtdtrading.rtdserver",, "ABEV3_B_0", "DAT")</f>
        <v>14/10/2025</v>
      </c>
      <c r="E18" t="str">
        <f>RTD("rtdtrading.rtdserver",, "ABEV3_B_0", "HOR")</f>
        <v>17:07:35</v>
      </c>
      <c r="F18">
        <f>RTD("rtdtrading.rtdserver",, "ABEV3_B_0", "ULT")</f>
        <v>12.05</v>
      </c>
      <c r="G18">
        <f>RTD("rtdtrading.rtdserver",, "ABEV3_B_0", "ABE")</f>
        <v>11.8</v>
      </c>
      <c r="H18">
        <f>RTD("rtdtrading.rtdserver",, "ABEV3_B_0", "MAX")</f>
        <v>12.1</v>
      </c>
      <c r="I18">
        <f>RTD("rtdtrading.rtdserver",, "ABEV3_B_0", "MIN")</f>
        <v>11.75</v>
      </c>
      <c r="J18">
        <f>RTD("rtdtrading.rtdserver",, "ABEV3_B_0", "FEC")</f>
        <v>11.860000000000001</v>
      </c>
      <c r="K18">
        <f>RTD("rtdtrading.rtdserver",, "ABEV3_B_0", "PEX")</f>
        <v>0</v>
      </c>
      <c r="L18">
        <f>RTD("rtdtrading.rtdserver",, "ABEV3_B_0", "VAR")</f>
        <v>1.6020236087689668</v>
      </c>
      <c r="M18">
        <f>RTD("rtdtrading.rtdserver",, "ABEV3_B_0", "VARPTS")</f>
        <v>0.1899999999999995</v>
      </c>
      <c r="N18">
        <f>RTD("rtdtrading.rtdserver",, "ABEV3_B_0", "MED")</f>
        <v>12.021358290832579</v>
      </c>
      <c r="O18" t="s">
        <v>193</v>
      </c>
      <c r="P18">
        <f>RTD("rtdtrading.rtdserver",, "ABEV3_B_0", "NEG")</f>
        <v>14521</v>
      </c>
      <c r="Q18">
        <f>RTD("rtdtrading.rtdserver",, "ABEV3_B_0", "QUL")</f>
        <v>0</v>
      </c>
      <c r="R18">
        <f>RTD("rtdtrading.rtdserver",, "ABEV3_B_0", "QTT")</f>
        <v>29038700</v>
      </c>
      <c r="S18">
        <f>RTD("rtdtrading.rtdserver",, "ABEV3_B_0", "VOL")</f>
        <v>349084617</v>
      </c>
      <c r="T18">
        <f>RTD("rtdtrading.rtdserver",, "ABEV3_B_0", "OCP")</f>
        <v>12.05</v>
      </c>
      <c r="U18">
        <f>RTD("rtdtrading.rtdserver",, "ABEV3_B_0", "OVD")</f>
        <v>12.13</v>
      </c>
      <c r="V18">
        <f>RTD("rtdtrading.rtdserver",, "ABEV3_B_0", "VOC")</f>
        <v>2000</v>
      </c>
      <c r="W18">
        <f>RTD("rtdtrading.rtdserver",, "ABEV3_B_0", "VOV")</f>
        <v>900</v>
      </c>
      <c r="X18">
        <f>RTD("rtdtrading.rtdserver",, "ABEV3_B_0", "AJU")</f>
        <v>0</v>
      </c>
      <c r="Y18">
        <f>RTD("rtdtrading.rtdserver",, "ABEV3_B_0", "AJA")</f>
        <v>0</v>
      </c>
      <c r="Z18">
        <f>RTD("rtdtrading.rtdserver",, "ABEV3_B_0", "PRT")</f>
        <v>0</v>
      </c>
      <c r="AA18">
        <f>RTD("rtdtrading.rtdserver",, "ABEV3_B_0", "QTE")</f>
        <v>0</v>
      </c>
      <c r="AB18">
        <f>RTD("rtdtrading.rtdserver",, "ABEV3_B_0", "VPJ")</f>
        <v>349084617</v>
      </c>
      <c r="AC18">
        <f>RTD("rtdtrading.rtdserver",, "ABEV3_B_0", "SEM")</f>
        <v>2.032176121930569</v>
      </c>
      <c r="AD18">
        <f>RTD("rtdtrading.rtdserver",, "ABEV3_B_0", "MES")</f>
        <v>-0.33085194375516247</v>
      </c>
      <c r="AE18">
        <f>RTD("rtdtrading.rtdserver",, "ABEV3_B_0", "3M")</f>
        <v>-8.392884293750944</v>
      </c>
      <c r="AF18">
        <f>RTD("rtdtrading.rtdserver",, "ABEV3_B_0", "6M")</f>
        <v>-8.8750415923046688</v>
      </c>
      <c r="AG18">
        <f>RTD("rtdtrading.rtdserver",, "ABEV3_B_0", "12M")</f>
        <v>1.269865281664688</v>
      </c>
      <c r="AH18">
        <f>RTD("rtdtrading.rtdserver",, "ABEV3_B_0", "ANO")</f>
        <v>5.6192972153318879</v>
      </c>
      <c r="AI18">
        <f>RTD("rtdtrading.rtdserver",, "ABEV3_B_0", "TRIM")</f>
        <v>-0.33085194375516247</v>
      </c>
      <c r="AJ18">
        <f>RTD("rtdtrading.rtdserver",, "ABEV3_B_0", "SEMES")</f>
        <v>-8.5992551408178226</v>
      </c>
      <c r="AK18" t="str">
        <f>RTD("rtdtrading.rtdserver",, "ABEV3_B_0", "VEN")</f>
        <v>-</v>
      </c>
      <c r="AL18" t="str">
        <f>RTD("rtdtrading.rtdserver",, "ABEV3_B_0", "VAL")</f>
        <v>31/12/9999</v>
      </c>
      <c r="AM18">
        <f>RTD("rtdtrading.rtdserver",, "ABEV3_B_0", "CAB")</f>
        <v>0</v>
      </c>
      <c r="AN18" t="str">
        <f>RTD("rtdtrading.rtdserver",, "ABEV3_B_0", "EST")</f>
        <v>Pré-Fechamento</v>
      </c>
      <c r="AO18" t="str">
        <f>RTD("rtdtrading.rtdserver",, "ABEV3_B_0", "BLACK")</f>
        <v>-</v>
      </c>
      <c r="AP18" t="str">
        <f>RTD("rtdtrading.rtdserver",, "ABEV3_B_0", "IMPVT")</f>
        <v>-</v>
      </c>
      <c r="AQ18" t="str">
        <f>RTD("rtdtrading.rtdserver",, "ABEV3_B_0", "DELTA")</f>
        <v>-</v>
      </c>
      <c r="AR18" t="str">
        <f>RTD("rtdtrading.rtdserver",, "ABEV3_B_0", "GAMA")</f>
        <v>-</v>
      </c>
      <c r="AS18" t="str">
        <f>RTD("rtdtrading.rtdserver",, "ABEV3_B_0", "THETA")</f>
        <v>-</v>
      </c>
      <c r="AT18" t="str">
        <f>RTD("rtdtrading.rtdserver",, "ABEV3_B_0", "RHO")</f>
        <v>-</v>
      </c>
      <c r="AU18" t="str">
        <f>RTD("rtdtrading.rtdserver",, "ABEV3_B_0", "VEGA")</f>
        <v>-</v>
      </c>
      <c r="AV18" t="str">
        <f>RTD("rtdtrading.rtdserver",, "ABEV3_B_0", "VIA")</f>
        <v>-</v>
      </c>
      <c r="AW18" t="str">
        <f>RTD("rtdtrading.rtdserver",, "ABEV3_B_0", "VIB")</f>
        <v>-</v>
      </c>
      <c r="AX18" t="str">
        <f>RTD("rtdtrading.rtdserver",, "ABEV3_B_0", "DOBRAR")</f>
        <v>-</v>
      </c>
      <c r="AY18" t="str">
        <f>RTD("rtdtrading.rtdserver",, "ABEV3_B_0", "VIVH")</f>
        <v>-</v>
      </c>
      <c r="AZ18" t="str">
        <f>RTD("rtdtrading.rtdserver",, "ABEV3_B_0", "VINT")</f>
        <v>-</v>
      </c>
      <c r="BA18" t="str">
        <f>RTD("rtdtrading.rtdserver",, "ABEV3_B_0", "VEXT")</f>
        <v>-</v>
      </c>
    </row>
    <row r="19" spans="3:53" x14ac:dyDescent="0.25">
      <c r="C19" t="s">
        <v>154</v>
      </c>
      <c r="D19" t="str">
        <f>RTD("rtdtrading.rtdserver",, "B3SA3_B_0", "DAT")</f>
        <v>14/10/2025</v>
      </c>
      <c r="E19" t="str">
        <f>RTD("rtdtrading.rtdserver",, "B3SA3_B_0", "HOR")</f>
        <v>17:59:53</v>
      </c>
      <c r="F19">
        <f>RTD("rtdtrading.rtdserver",, "B3SA3_B_0", "ULT")</f>
        <v>12.55</v>
      </c>
      <c r="G19">
        <f>RTD("rtdtrading.rtdserver",, "B3SA3_B_0", "ABE")</f>
        <v>12.66</v>
      </c>
      <c r="H19">
        <f>RTD("rtdtrading.rtdserver",, "B3SA3_B_0", "MAX")</f>
        <v>12.73</v>
      </c>
      <c r="I19">
        <f>RTD("rtdtrading.rtdserver",, "B3SA3_B_0", "MIN")</f>
        <v>12.52</v>
      </c>
      <c r="J19">
        <f>RTD("rtdtrading.rtdserver",, "B3SA3_B_0", "FEC")</f>
        <v>12.71</v>
      </c>
      <c r="K19">
        <f>RTD("rtdtrading.rtdserver",, "B3SA3_B_0", "PEX")</f>
        <v>0</v>
      </c>
      <c r="L19">
        <f>RTD("rtdtrading.rtdserver",, "B3SA3_B_0", "VAR")</f>
        <v>-1.2588512981904023</v>
      </c>
      <c r="M19">
        <f>RTD("rtdtrading.rtdserver",, "B3SA3_B_0", "VARPTS")</f>
        <v>-0.16000000000000014</v>
      </c>
      <c r="N19">
        <f>RTD("rtdtrading.rtdserver",, "B3SA3_B_0", "MED")</f>
        <v>12.574638959843517</v>
      </c>
      <c r="O19" t="s">
        <v>196</v>
      </c>
      <c r="P19">
        <f>RTD("rtdtrading.rtdserver",, "B3SA3_B_0", "NEG")</f>
        <v>21323</v>
      </c>
      <c r="Q19">
        <f>RTD("rtdtrading.rtdserver",, "B3SA3_B_0", "QUL")</f>
        <v>0</v>
      </c>
      <c r="R19">
        <f>RTD("rtdtrading.rtdserver",, "B3SA3_B_0", "QTT")</f>
        <v>21727500</v>
      </c>
      <c r="S19">
        <f>RTD("rtdtrading.rtdserver",, "B3SA3_B_0", "VOL")</f>
        <v>273215468</v>
      </c>
      <c r="T19">
        <f>RTD("rtdtrading.rtdserver",, "B3SA3_B_0", "OCP")</f>
        <v>12.540000000000001</v>
      </c>
      <c r="U19">
        <f>RTD("rtdtrading.rtdserver",, "B3SA3_B_0", "OVD")</f>
        <v>12.57</v>
      </c>
      <c r="V19">
        <f>RTD("rtdtrading.rtdserver",, "B3SA3_B_0", "VOC")</f>
        <v>19300</v>
      </c>
      <c r="W19">
        <f>RTD("rtdtrading.rtdserver",, "B3SA3_B_0", "VOV")</f>
        <v>400</v>
      </c>
      <c r="X19">
        <f>RTD("rtdtrading.rtdserver",, "B3SA3_B_0", "AJU")</f>
        <v>0</v>
      </c>
      <c r="Y19">
        <f>RTD("rtdtrading.rtdserver",, "B3SA3_B_0", "AJA")</f>
        <v>0</v>
      </c>
      <c r="Z19">
        <f>RTD("rtdtrading.rtdserver",, "B3SA3_B_0", "PRT")</f>
        <v>0</v>
      </c>
      <c r="AA19">
        <f>RTD("rtdtrading.rtdserver",, "B3SA3_B_0", "QTE")</f>
        <v>0</v>
      </c>
      <c r="AB19">
        <f>RTD("rtdtrading.rtdserver",, "B3SA3_B_0", "VPJ")</f>
        <v>273215468</v>
      </c>
      <c r="AC19">
        <f>RTD("rtdtrading.rtdserver",, "B3SA3_B_0", "SEM")</f>
        <v>-0.39682539682540247</v>
      </c>
      <c r="AD19">
        <f>RTD("rtdtrading.rtdserver",, "B3SA3_B_0", "MES")</f>
        <v>-6.3432835820895495</v>
      </c>
      <c r="AE19">
        <f>RTD("rtdtrading.rtdserver",, "B3SA3_B_0", "3M")</f>
        <v>-7.3260424897172562</v>
      </c>
      <c r="AF19">
        <f>RTD("rtdtrading.rtdserver",, "B3SA3_B_0", "6M")</f>
        <v>6.1256934109051482</v>
      </c>
      <c r="AG19">
        <f>RTD("rtdtrading.rtdserver",, "B3SA3_B_0", "12M")</f>
        <v>19.679963380792088</v>
      </c>
      <c r="AH19">
        <f>RTD("rtdtrading.rtdserver",, "B3SA3_B_0", "ANO")</f>
        <v>23.970207637750168</v>
      </c>
      <c r="AI19">
        <f>RTD("rtdtrading.rtdserver",, "B3SA3_B_0", "TRIM")</f>
        <v>-6.3432835820895495</v>
      </c>
      <c r="AJ19">
        <f>RTD("rtdtrading.rtdserver",, "B3SA3_B_0", "SEMES")</f>
        <v>-13.491828251983485</v>
      </c>
      <c r="AK19" t="str">
        <f>RTD("rtdtrading.rtdserver",, "B3SA3_B_0", "VEN")</f>
        <v>-</v>
      </c>
      <c r="AL19" t="str">
        <f>RTD("rtdtrading.rtdserver",, "B3SA3_B_0", "VAL")</f>
        <v>31/12/9999</v>
      </c>
      <c r="AM19">
        <f>RTD("rtdtrading.rtdserver",, "B3SA3_B_0", "CAB")</f>
        <v>0</v>
      </c>
      <c r="AN19" t="str">
        <f>RTD("rtdtrading.rtdserver",, "B3SA3_B_0", "EST")</f>
        <v>Pré-Fechamento</v>
      </c>
      <c r="AO19" t="str">
        <f>RTD("rtdtrading.rtdserver",, "B3SA3_B_0", "BLACK")</f>
        <v>-</v>
      </c>
      <c r="AP19" t="str">
        <f>RTD("rtdtrading.rtdserver",, "B3SA3_B_0", "IMPVT")</f>
        <v>-</v>
      </c>
      <c r="AQ19" t="str">
        <f>RTD("rtdtrading.rtdserver",, "B3SA3_B_0", "DELTA")</f>
        <v>-</v>
      </c>
      <c r="AR19" t="str">
        <f>RTD("rtdtrading.rtdserver",, "B3SA3_B_0", "GAMA")</f>
        <v>-</v>
      </c>
      <c r="AS19" t="str">
        <f>RTD("rtdtrading.rtdserver",, "B3SA3_B_0", "THETA")</f>
        <v>-</v>
      </c>
      <c r="AT19" t="str">
        <f>RTD("rtdtrading.rtdserver",, "B3SA3_B_0", "RHO")</f>
        <v>-</v>
      </c>
      <c r="AU19" t="str">
        <f>RTD("rtdtrading.rtdserver",, "B3SA3_B_0", "VEGA")</f>
        <v>-</v>
      </c>
      <c r="AV19" t="str">
        <f>RTD("rtdtrading.rtdserver",, "B3SA3_B_0", "VIA")</f>
        <v>-</v>
      </c>
      <c r="AW19" t="str">
        <f>RTD("rtdtrading.rtdserver",, "B3SA3_B_0", "VIB")</f>
        <v>-</v>
      </c>
      <c r="AX19" t="str">
        <f>RTD("rtdtrading.rtdserver",, "B3SA3_B_0", "DOBRAR")</f>
        <v>-</v>
      </c>
      <c r="AY19" t="str">
        <f>RTD("rtdtrading.rtdserver",, "B3SA3_B_0", "VIVH")</f>
        <v>-</v>
      </c>
      <c r="AZ19" t="str">
        <f>RTD("rtdtrading.rtdserver",, "B3SA3_B_0", "VINT")</f>
        <v>-</v>
      </c>
      <c r="BA19" t="str">
        <f>RTD("rtdtrading.rtdserver",, "B3SA3_B_0", "VEXT")</f>
        <v>-</v>
      </c>
    </row>
    <row r="20" spans="3:53" x14ac:dyDescent="0.25">
      <c r="C20" t="s">
        <v>199</v>
      </c>
      <c r="D20" t="str">
        <f>RTD("rtdtrading.rtdserver",, "GFSA3_B_0", "DAT")</f>
        <v>14/10/2025</v>
      </c>
      <c r="E20" t="str">
        <f>RTD("rtdtrading.rtdserver",, "GFSA3_B_0", "HOR")</f>
        <v>17:06:00</v>
      </c>
      <c r="F20">
        <f>RTD("rtdtrading.rtdserver",, "GFSA3_B_0", "ULT")</f>
        <v>6.66</v>
      </c>
      <c r="G20">
        <f>RTD("rtdtrading.rtdserver",, "GFSA3_B_0", "ABE")</f>
        <v>6.7</v>
      </c>
      <c r="H20">
        <f>RTD("rtdtrading.rtdserver",, "GFSA3_B_0", "MAX")</f>
        <v>6.72</v>
      </c>
      <c r="I20">
        <f>RTD("rtdtrading.rtdserver",, "GFSA3_B_0", "MIN")</f>
        <v>6.49</v>
      </c>
      <c r="J20">
        <f>RTD("rtdtrading.rtdserver",, "GFSA3_B_0", "FEC")</f>
        <v>6.7</v>
      </c>
      <c r="K20">
        <f>RTD("rtdtrading.rtdserver",, "GFSA3_B_0", "PEX")</f>
        <v>0</v>
      </c>
      <c r="L20">
        <f>RTD("rtdtrading.rtdserver",, "GFSA3_B_0", "VAR")</f>
        <v>-0.59701492537313483</v>
      </c>
      <c r="M20">
        <f>RTD("rtdtrading.rtdserver",, "GFSA3_B_0", "VARPTS")</f>
        <v>-4.0000000000000036E-2</v>
      </c>
      <c r="N20">
        <f>RTD("rtdtrading.rtdserver",, "GFSA3_B_0", "MED")</f>
        <v>6.6044301959835474</v>
      </c>
      <c r="O20" t="s">
        <v>200</v>
      </c>
      <c r="P20">
        <f>RTD("rtdtrading.rtdserver",, "GFSA3_B_0", "NEG")</f>
        <v>1411</v>
      </c>
      <c r="Q20">
        <f>RTD("rtdtrading.rtdserver",, "GFSA3_B_0", "QUL")</f>
        <v>0</v>
      </c>
      <c r="R20">
        <f>RTD("rtdtrading.rtdserver",, "GFSA3_B_0", "QTT")</f>
        <v>413300</v>
      </c>
      <c r="S20">
        <f>RTD("rtdtrading.rtdserver",, "GFSA3_B_0", "VOL")</f>
        <v>2729611</v>
      </c>
      <c r="T20">
        <f>RTD("rtdtrading.rtdserver",, "GFSA3_B_0", "OCP")</f>
        <v>6.5200000000000005</v>
      </c>
      <c r="U20">
        <f>RTD("rtdtrading.rtdserver",, "GFSA3_B_0", "OVD")</f>
        <v>6.68</v>
      </c>
      <c r="V20">
        <f>RTD("rtdtrading.rtdserver",, "GFSA3_B_0", "VOC")</f>
        <v>200</v>
      </c>
      <c r="W20">
        <f>RTD("rtdtrading.rtdserver",, "GFSA3_B_0", "VOV")</f>
        <v>500</v>
      </c>
      <c r="X20">
        <f>RTD("rtdtrading.rtdserver",, "GFSA3_B_0", "AJU")</f>
        <v>0</v>
      </c>
      <c r="Y20">
        <f>RTD("rtdtrading.rtdserver",, "GFSA3_B_0", "AJA")</f>
        <v>0</v>
      </c>
      <c r="Z20">
        <f>RTD("rtdtrading.rtdserver",, "GFSA3_B_0", "PRT")</f>
        <v>0</v>
      </c>
      <c r="AA20">
        <f>RTD("rtdtrading.rtdserver",, "GFSA3_B_0", "QTE")</f>
        <v>0</v>
      </c>
      <c r="AB20">
        <f>RTD("rtdtrading.rtdserver",, "GFSA3_B_0", "VPJ")</f>
        <v>2729611</v>
      </c>
      <c r="AC20">
        <f>RTD("rtdtrading.rtdserver",, "GFSA3_B_0", "SEM")</f>
        <v>-3.0567685589519646</v>
      </c>
      <c r="AD20">
        <f>RTD("rtdtrading.rtdserver",, "GFSA3_B_0", "MES")</f>
        <v>-17.980295566502473</v>
      </c>
      <c r="AE20">
        <f>RTD("rtdtrading.rtdserver",, "GFSA3_B_0", "3M")</f>
        <v>-64</v>
      </c>
      <c r="AF20">
        <f>RTD("rtdtrading.rtdserver",, "GFSA3_B_0", "6M")</f>
        <v>-80.862068965517238</v>
      </c>
      <c r="AG20">
        <f>RTD("rtdtrading.rtdserver",, "GFSA3_B_0", "12M")</f>
        <v>-82.473684210526315</v>
      </c>
      <c r="AH20">
        <f>RTD("rtdtrading.rtdserver",, "GFSA3_B_0", "ANO")</f>
        <v>-71.779661016949163</v>
      </c>
      <c r="AI20">
        <f>RTD("rtdtrading.rtdserver",, "GFSA3_B_0", "TRIM")</f>
        <v>-17.980295566502473</v>
      </c>
      <c r="AJ20">
        <f>RTD("rtdtrading.rtdserver",, "GFSA3_B_0", "SEMES")</f>
        <v>-68.133971291866033</v>
      </c>
      <c r="AK20" t="str">
        <f>RTD("rtdtrading.rtdserver",, "GFSA3_B_0", "VEN")</f>
        <v>-</v>
      </c>
      <c r="AL20" t="str">
        <f>RTD("rtdtrading.rtdserver",, "GFSA3_B_0", "VAL")</f>
        <v>31/12/9999</v>
      </c>
      <c r="AM20">
        <f>RTD("rtdtrading.rtdserver",, "GFSA3_B_0", "CAB")</f>
        <v>0</v>
      </c>
      <c r="AN20" t="str">
        <f>RTD("rtdtrading.rtdserver",, "GFSA3_B_0", "EST")</f>
        <v>Pré-Fechamento</v>
      </c>
      <c r="AO20" t="str">
        <f>RTD("rtdtrading.rtdserver",, "GFSA3_B_0", "BLACK")</f>
        <v>-</v>
      </c>
      <c r="AP20" t="str">
        <f>RTD("rtdtrading.rtdserver",, "GFSA3_B_0", "IMPVT")</f>
        <v>-</v>
      </c>
      <c r="AQ20" t="str">
        <f>RTD("rtdtrading.rtdserver",, "GFSA3_B_0", "DELTA")</f>
        <v>-</v>
      </c>
      <c r="AR20" t="str">
        <f>RTD("rtdtrading.rtdserver",, "GFSA3_B_0", "GAMA")</f>
        <v>-</v>
      </c>
      <c r="AS20" t="str">
        <f>RTD("rtdtrading.rtdserver",, "GFSA3_B_0", "THETA")</f>
        <v>-</v>
      </c>
      <c r="AT20" t="str">
        <f>RTD("rtdtrading.rtdserver",, "GFSA3_B_0", "RHO")</f>
        <v>-</v>
      </c>
      <c r="AU20" t="str">
        <f>RTD("rtdtrading.rtdserver",, "GFSA3_B_0", "VEGA")</f>
        <v>-</v>
      </c>
      <c r="AV20" t="str">
        <f>RTD("rtdtrading.rtdserver",, "GFSA3_B_0", "VIA")</f>
        <v>-</v>
      </c>
      <c r="AW20" t="str">
        <f>RTD("rtdtrading.rtdserver",, "GFSA3_B_0", "VIB")</f>
        <v>-</v>
      </c>
      <c r="AX20" t="str">
        <f>RTD("rtdtrading.rtdserver",, "GFSA3_B_0", "DOBRAR")</f>
        <v>-</v>
      </c>
      <c r="AY20" t="str">
        <f>RTD("rtdtrading.rtdserver",, "GFSA3_B_0", "VIVH")</f>
        <v>-</v>
      </c>
      <c r="AZ20" t="str">
        <f>RTD("rtdtrading.rtdserver",, "GFSA3_B_0", "VINT")</f>
        <v>-</v>
      </c>
      <c r="BA20" t="str">
        <f>RTD("rtdtrading.rtdserver",, "GFSA3_B_0", "VEXT")</f>
        <v>-</v>
      </c>
    </row>
    <row r="21" spans="3:53" x14ac:dyDescent="0.25">
      <c r="C21" t="s">
        <v>197</v>
      </c>
      <c r="D21" t="str">
        <f>RTD("rtdtrading.rtdserver",, "CMIG4_B_0", "DAT")</f>
        <v>14/10/2025</v>
      </c>
      <c r="E21" t="str">
        <f>RTD("rtdtrading.rtdserver",, "CMIG4_B_0", "HOR")</f>
        <v>17:43:56</v>
      </c>
      <c r="F21">
        <f>RTD("rtdtrading.rtdserver",, "CMIG4_B_0", "ULT")</f>
        <v>10.72</v>
      </c>
      <c r="G21">
        <f>RTD("rtdtrading.rtdserver",, "CMIG4_B_0", "ABE")</f>
        <v>10.7</v>
      </c>
      <c r="H21">
        <f>RTD("rtdtrading.rtdserver",, "CMIG4_B_0", "MAX")</f>
        <v>10.83</v>
      </c>
      <c r="I21">
        <f>RTD("rtdtrading.rtdserver",, "CMIG4_B_0", "MIN")</f>
        <v>10.66</v>
      </c>
      <c r="J21">
        <f>RTD("rtdtrading.rtdserver",, "CMIG4_B_0", "FEC")</f>
        <v>10.68</v>
      </c>
      <c r="K21">
        <f>RTD("rtdtrading.rtdserver",, "CMIG4_B_0", "PEX")</f>
        <v>0</v>
      </c>
      <c r="L21">
        <f>RTD("rtdtrading.rtdserver",, "CMIG4_B_0", "VAR")</f>
        <v>0.3745318352060012</v>
      </c>
      <c r="M21">
        <f>RTD("rtdtrading.rtdserver",, "CMIG4_B_0", "VARPTS")</f>
        <v>4.0000000000000924E-2</v>
      </c>
      <c r="N21">
        <f>RTD("rtdtrading.rtdserver",, "CMIG4_B_0", "MED")</f>
        <v>10.761893446088795</v>
      </c>
      <c r="O21" t="s">
        <v>203</v>
      </c>
      <c r="P21">
        <f>RTD("rtdtrading.rtdserver",, "CMIG4_B_0", "NEG")</f>
        <v>12495</v>
      </c>
      <c r="Q21">
        <f>RTD("rtdtrading.rtdserver",, "CMIG4_B_0", "QUL")</f>
        <v>0</v>
      </c>
      <c r="R21">
        <f>RTD("rtdtrading.rtdserver",, "CMIG4_B_0", "QTT")</f>
        <v>7095000</v>
      </c>
      <c r="S21">
        <f>RTD("rtdtrading.rtdserver",, "CMIG4_B_0", "VOL")</f>
        <v>76355634</v>
      </c>
      <c r="T21">
        <f>RTD("rtdtrading.rtdserver",, "CMIG4_B_0", "OCP")</f>
        <v>10.72</v>
      </c>
      <c r="U21">
        <f>RTD("rtdtrading.rtdserver",, "CMIG4_B_0", "OVD")</f>
        <v>10.82</v>
      </c>
      <c r="V21">
        <f>RTD("rtdtrading.rtdserver",, "CMIG4_B_0", "VOC")</f>
        <v>100</v>
      </c>
      <c r="W21">
        <f>RTD("rtdtrading.rtdserver",, "CMIG4_B_0", "VOV")</f>
        <v>100</v>
      </c>
      <c r="X21">
        <f>RTD("rtdtrading.rtdserver",, "CMIG4_B_0", "AJU")</f>
        <v>0</v>
      </c>
      <c r="Y21">
        <f>RTD("rtdtrading.rtdserver",, "CMIG4_B_0", "AJA")</f>
        <v>0</v>
      </c>
      <c r="Z21">
        <f>RTD("rtdtrading.rtdserver",, "CMIG4_B_0", "PRT")</f>
        <v>0</v>
      </c>
      <c r="AA21">
        <f>RTD("rtdtrading.rtdserver",, "CMIG4_B_0", "QTE")</f>
        <v>0</v>
      </c>
      <c r="AB21">
        <f>RTD("rtdtrading.rtdserver",, "CMIG4_B_0", "VPJ")</f>
        <v>76355634</v>
      </c>
      <c r="AC21">
        <f>RTD("rtdtrading.rtdserver",, "CMIG4_B_0", "SEM")</f>
        <v>1.4191106906338729</v>
      </c>
      <c r="AD21">
        <f>RTD("rtdtrading.rtdserver",, "CMIG4_B_0", "MES")</f>
        <v>-3.8565022421524637</v>
      </c>
      <c r="AE21">
        <f>RTD("rtdtrading.rtdserver",, "CMIG4_B_0", "3M")</f>
        <v>2.1906160035080449</v>
      </c>
      <c r="AF21">
        <f>RTD("rtdtrading.rtdserver",, "CMIG4_B_0", "6M")</f>
        <v>16.573690449004456</v>
      </c>
      <c r="AG21">
        <f>RTD("rtdtrading.rtdserver",, "CMIG4_B_0", "12M")</f>
        <v>10.240431089446957</v>
      </c>
      <c r="AH21">
        <f>RTD("rtdtrading.rtdserver",, "CMIG4_B_0", "ANO")</f>
        <v>7.7073013895447655</v>
      </c>
      <c r="AI21">
        <f>RTD("rtdtrading.rtdserver",, "CMIG4_B_0", "TRIM")</f>
        <v>-3.8565022421524637</v>
      </c>
      <c r="AJ21">
        <f>RTD("rtdtrading.rtdserver",, "CMIG4_B_0", "SEMES")</f>
        <v>0.86563793752352769</v>
      </c>
      <c r="AK21" t="str">
        <f>RTD("rtdtrading.rtdserver",, "CMIG4_B_0", "VEN")</f>
        <v>-</v>
      </c>
      <c r="AL21" t="str">
        <f>RTD("rtdtrading.rtdserver",, "CMIG4_B_0", "VAL")</f>
        <v>31/12/9999</v>
      </c>
      <c r="AM21">
        <f>RTD("rtdtrading.rtdserver",, "CMIG4_B_0", "CAB")</f>
        <v>0</v>
      </c>
      <c r="AN21" t="str">
        <f>RTD("rtdtrading.rtdserver",, "CMIG4_B_0", "EST")</f>
        <v>Pré-Fechamento</v>
      </c>
      <c r="AO21" t="str">
        <f>RTD("rtdtrading.rtdserver",, "CMIG4_B_0", "BLACK")</f>
        <v>-</v>
      </c>
      <c r="AP21" t="str">
        <f>RTD("rtdtrading.rtdserver",, "CMIG4_B_0", "IMPVT")</f>
        <v>-</v>
      </c>
      <c r="AQ21" t="str">
        <f>RTD("rtdtrading.rtdserver",, "CMIG4_B_0", "DELTA")</f>
        <v>-</v>
      </c>
      <c r="AR21" t="str">
        <f>RTD("rtdtrading.rtdserver",, "CMIG4_B_0", "GAMA")</f>
        <v>-</v>
      </c>
      <c r="AS21" t="str">
        <f>RTD("rtdtrading.rtdserver",, "CMIG4_B_0", "THETA")</f>
        <v>-</v>
      </c>
      <c r="AT21" t="str">
        <f>RTD("rtdtrading.rtdserver",, "CMIG4_B_0", "RHO")</f>
        <v>-</v>
      </c>
      <c r="AU21" t="str">
        <f>RTD("rtdtrading.rtdserver",, "CMIG4_B_0", "VEGA")</f>
        <v>-</v>
      </c>
      <c r="AV21" t="str">
        <f>RTD("rtdtrading.rtdserver",, "CMIG4_B_0", "VIA")</f>
        <v>-</v>
      </c>
      <c r="AW21" t="str">
        <f>RTD("rtdtrading.rtdserver",, "CMIG4_B_0", "VIB")</f>
        <v>-</v>
      </c>
      <c r="AX21" t="str">
        <f>RTD("rtdtrading.rtdserver",, "CMIG4_B_0", "DOBRAR")</f>
        <v>-</v>
      </c>
      <c r="AY21" t="str">
        <f>RTD("rtdtrading.rtdserver",, "CMIG4_B_0", "VIVH")</f>
        <v>-</v>
      </c>
      <c r="AZ21" t="str">
        <f>RTD("rtdtrading.rtdserver",, "CMIG4_B_0", "VINT")</f>
        <v>-</v>
      </c>
      <c r="BA21" t="str">
        <f>RTD("rtdtrading.rtdserver",, "CMIG4_B_0", "VEXT")</f>
        <v>-</v>
      </c>
    </row>
    <row r="22" spans="3:53" x14ac:dyDescent="0.25">
      <c r="C22" t="s">
        <v>207</v>
      </c>
      <c r="D22" t="str">
        <f>RTD("rtdtrading.rtdserver",, "RENT3_B_0", "DAT")</f>
        <v>14/10/2025</v>
      </c>
      <c r="E22" t="str">
        <f>RTD("rtdtrading.rtdserver",, "RENT3_B_0", "HOR")</f>
        <v>17:07:31</v>
      </c>
      <c r="F22">
        <f>RTD("rtdtrading.rtdserver",, "RENT3_B_0", "ULT")</f>
        <v>35.870000000000005</v>
      </c>
      <c r="G22">
        <f>RTD("rtdtrading.rtdserver",, "RENT3_B_0", "ABE")</f>
        <v>35.79</v>
      </c>
      <c r="H22">
        <f>RTD("rtdtrading.rtdserver",, "RENT3_B_0", "MAX")</f>
        <v>36.450000000000003</v>
      </c>
      <c r="I22">
        <f>RTD("rtdtrading.rtdserver",, "RENT3_B_0", "MIN")</f>
        <v>35.659999999999997</v>
      </c>
      <c r="J22">
        <f>RTD("rtdtrading.rtdserver",, "RENT3_B_0", "FEC")</f>
        <v>36.14</v>
      </c>
      <c r="K22">
        <f>RTD("rtdtrading.rtdserver",, "RENT3_B_0", "PEX")</f>
        <v>0</v>
      </c>
      <c r="L22">
        <f>RTD("rtdtrading.rtdserver",, "RENT3_B_0", "VAR")</f>
        <v>-0.74709463198670734</v>
      </c>
      <c r="M22">
        <f>RTD("rtdtrading.rtdserver",, "RENT3_B_0", "VARPTS")</f>
        <v>-0.26999999999999602</v>
      </c>
      <c r="N22">
        <f>RTD("rtdtrading.rtdserver",, "RENT3_B_0", "MED")</f>
        <v>36.02100852959898</v>
      </c>
      <c r="O22" t="s">
        <v>208</v>
      </c>
      <c r="P22">
        <f>RTD("rtdtrading.rtdserver",, "RENT3_B_0", "NEG")</f>
        <v>13250</v>
      </c>
      <c r="Q22">
        <f>RTD("rtdtrading.rtdserver",, "RENT3_B_0", "QUL")</f>
        <v>0</v>
      </c>
      <c r="R22">
        <f>RTD("rtdtrading.rtdserver",, "RENT3_B_0", "QTT")</f>
        <v>3927500</v>
      </c>
      <c r="S22">
        <f>RTD("rtdtrading.rtdserver",, "RENT3_B_0", "VOL")</f>
        <v>141472511</v>
      </c>
      <c r="T22">
        <f>RTD("rtdtrading.rtdserver",, "RENT3_B_0", "OCP")</f>
        <v>35.6</v>
      </c>
      <c r="U22">
        <f>RTD("rtdtrading.rtdserver",, "RENT3_B_0", "OVD")</f>
        <v>36.17</v>
      </c>
      <c r="V22">
        <f>RTD("rtdtrading.rtdserver",, "RENT3_B_0", "VOC")</f>
        <v>600</v>
      </c>
      <c r="W22">
        <f>RTD("rtdtrading.rtdserver",, "RENT3_B_0", "VOV")</f>
        <v>600</v>
      </c>
      <c r="X22">
        <f>RTD("rtdtrading.rtdserver",, "RENT3_B_0", "AJU")</f>
        <v>0</v>
      </c>
      <c r="Y22">
        <f>RTD("rtdtrading.rtdserver",, "RENT3_B_0", "AJA")</f>
        <v>0</v>
      </c>
      <c r="Z22">
        <f>RTD("rtdtrading.rtdserver",, "RENT3_B_0", "PRT")</f>
        <v>0</v>
      </c>
      <c r="AA22">
        <f>RTD("rtdtrading.rtdserver",, "RENT3_B_0", "QTE")</f>
        <v>0</v>
      </c>
      <c r="AB22">
        <f>RTD("rtdtrading.rtdserver",, "RENT3_B_0", "VPJ")</f>
        <v>141472511</v>
      </c>
      <c r="AC22">
        <f>RTD("rtdtrading.rtdserver",, "RENT3_B_0", "SEM")</f>
        <v>0.19553072625698403</v>
      </c>
      <c r="AD22">
        <f>RTD("rtdtrading.rtdserver",, "RENT3_B_0", "MES")</f>
        <v>-9.0747782002534798</v>
      </c>
      <c r="AE22">
        <f>RTD("rtdtrading.rtdserver",, "RENT3_B_0", "3M")</f>
        <v>-0.53572616961333808</v>
      </c>
      <c r="AF22">
        <f>RTD("rtdtrading.rtdserver",, "RENT3_B_0", "6M")</f>
        <v>-4.9685524593725301</v>
      </c>
      <c r="AG22">
        <f>RTD("rtdtrading.rtdserver",, "RENT3_B_0", "12M")</f>
        <v>-9.8603300011559583</v>
      </c>
      <c r="AH22">
        <f>RTD("rtdtrading.rtdserver",, "RENT3_B_0", "ANO")</f>
        <v>15.113685595545649</v>
      </c>
      <c r="AI22">
        <f>RTD("rtdtrading.rtdserver",, "RENT3_B_0", "TRIM")</f>
        <v>-9.0747782002534798</v>
      </c>
      <c r="AJ22">
        <f>RTD("rtdtrading.rtdserver",, "RENT3_B_0", "SEMES")</f>
        <v>-10.501759025923791</v>
      </c>
      <c r="AK22" t="str">
        <f>RTD("rtdtrading.rtdserver",, "RENT3_B_0", "VEN")</f>
        <v>-</v>
      </c>
      <c r="AL22" t="str">
        <f>RTD("rtdtrading.rtdserver",, "RENT3_B_0", "VAL")</f>
        <v>31/12/9999</v>
      </c>
      <c r="AM22">
        <f>RTD("rtdtrading.rtdserver",, "RENT3_B_0", "CAB")</f>
        <v>0</v>
      </c>
      <c r="AN22" t="str">
        <f>RTD("rtdtrading.rtdserver",, "RENT3_B_0", "EST")</f>
        <v>Pré-Fechamento</v>
      </c>
      <c r="AO22" t="str">
        <f>RTD("rtdtrading.rtdserver",, "RENT3_B_0", "BLACK")</f>
        <v>-</v>
      </c>
      <c r="AP22" t="str">
        <f>RTD("rtdtrading.rtdserver",, "RENT3_B_0", "IMPVT")</f>
        <v>-</v>
      </c>
      <c r="AQ22" t="str">
        <f>RTD("rtdtrading.rtdserver",, "RENT3_B_0", "DELTA")</f>
        <v>-</v>
      </c>
      <c r="AR22" t="str">
        <f>RTD("rtdtrading.rtdserver",, "RENT3_B_0", "GAMA")</f>
        <v>-</v>
      </c>
      <c r="AS22" t="str">
        <f>RTD("rtdtrading.rtdserver",, "RENT3_B_0", "THETA")</f>
        <v>-</v>
      </c>
      <c r="AT22" t="str">
        <f>RTD("rtdtrading.rtdserver",, "RENT3_B_0", "RHO")</f>
        <v>-</v>
      </c>
      <c r="AU22" t="str">
        <f>RTD("rtdtrading.rtdserver",, "RENT3_B_0", "VEGA")</f>
        <v>-</v>
      </c>
      <c r="AV22" t="str">
        <f>RTD("rtdtrading.rtdserver",, "RENT3_B_0", "VIA")</f>
        <v>-</v>
      </c>
      <c r="AW22" t="str">
        <f>RTD("rtdtrading.rtdserver",, "RENT3_B_0", "VIB")</f>
        <v>-</v>
      </c>
      <c r="AX22" t="str">
        <f>RTD("rtdtrading.rtdserver",, "RENT3_B_0", "DOBRAR")</f>
        <v>-</v>
      </c>
      <c r="AY22" t="str">
        <f>RTD("rtdtrading.rtdserver",, "RENT3_B_0", "VIVH")</f>
        <v>-</v>
      </c>
      <c r="AZ22" t="str">
        <f>RTD("rtdtrading.rtdserver",, "RENT3_B_0", "VINT")</f>
        <v>-</v>
      </c>
      <c r="BA22" t="str">
        <f>RTD("rtdtrading.rtdserver",, "RENT3_B_0", "VEXT")</f>
        <v>-</v>
      </c>
    </row>
    <row r="23" spans="3:53" x14ac:dyDescent="0.25">
      <c r="C23" t="s">
        <v>211</v>
      </c>
      <c r="D23" t="str">
        <f>RTD("rtdtrading.rtdserver",, "SUZB3_B_0", "DAT")</f>
        <v>14/10/2025</v>
      </c>
      <c r="E23" t="str">
        <f>RTD("rtdtrading.rtdserver",, "SUZB3_B_0", "HOR")</f>
        <v>17:07:32</v>
      </c>
      <c r="F23">
        <f>RTD("rtdtrading.rtdserver",, "SUZB3_B_0", "ULT")</f>
        <v>47.99</v>
      </c>
      <c r="G23">
        <f>RTD("rtdtrading.rtdserver",, "SUZB3_B_0", "ABE")</f>
        <v>48.1</v>
      </c>
      <c r="H23">
        <f>RTD("rtdtrading.rtdserver",, "SUZB3_B_0", "MAX")</f>
        <v>48.42</v>
      </c>
      <c r="I23">
        <f>RTD("rtdtrading.rtdserver",, "SUZB3_B_0", "MIN")</f>
        <v>47.95</v>
      </c>
      <c r="J23">
        <f>RTD("rtdtrading.rtdserver",, "SUZB3_B_0", "FEC")</f>
        <v>48.21</v>
      </c>
      <c r="K23">
        <f>RTD("rtdtrading.rtdserver",, "SUZB3_B_0", "PEX")</f>
        <v>0</v>
      </c>
      <c r="L23">
        <f>RTD("rtdtrading.rtdserver",, "SUZB3_B_0", "VAR")</f>
        <v>-0.45633685957270043</v>
      </c>
      <c r="M23">
        <f>RTD("rtdtrading.rtdserver",, "SUZB3_B_0", "VARPTS")</f>
        <v>-0.21999999999999886</v>
      </c>
      <c r="N23">
        <f>RTD("rtdtrading.rtdserver",, "SUZB3_B_0", "MED")</f>
        <v>48.097068084132353</v>
      </c>
      <c r="O23" t="s">
        <v>212</v>
      </c>
      <c r="P23">
        <f>RTD("rtdtrading.rtdserver",, "SUZB3_B_0", "NEG")</f>
        <v>12189</v>
      </c>
      <c r="Q23">
        <f>RTD("rtdtrading.rtdserver",, "SUZB3_B_0", "QUL")</f>
        <v>0</v>
      </c>
      <c r="R23">
        <f>RTD("rtdtrading.rtdserver",, "SUZB3_B_0", "QTT")</f>
        <v>3931900</v>
      </c>
      <c r="S23">
        <f>RTD("rtdtrading.rtdserver",, "SUZB3_B_0", "VOL")</f>
        <v>189112862</v>
      </c>
      <c r="T23">
        <f>RTD("rtdtrading.rtdserver",, "SUZB3_B_0", "OCP")</f>
        <v>47.81</v>
      </c>
      <c r="U23">
        <f>RTD("rtdtrading.rtdserver",, "SUZB3_B_0", "OVD")</f>
        <v>48.1</v>
      </c>
      <c r="V23">
        <f>RTD("rtdtrading.rtdserver",, "SUZB3_B_0", "VOC")</f>
        <v>100</v>
      </c>
      <c r="W23">
        <f>RTD("rtdtrading.rtdserver",, "SUZB3_B_0", "VOV")</f>
        <v>800</v>
      </c>
      <c r="X23">
        <f>RTD("rtdtrading.rtdserver",, "SUZB3_B_0", "AJU")</f>
        <v>0</v>
      </c>
      <c r="Y23">
        <f>RTD("rtdtrading.rtdserver",, "SUZB3_B_0", "AJA")</f>
        <v>0</v>
      </c>
      <c r="Z23">
        <f>RTD("rtdtrading.rtdserver",, "SUZB3_B_0", "PRT")</f>
        <v>0</v>
      </c>
      <c r="AA23">
        <f>RTD("rtdtrading.rtdserver",, "SUZB3_B_0", "QTE")</f>
        <v>0</v>
      </c>
      <c r="AB23">
        <f>RTD("rtdtrading.rtdserver",, "SUZB3_B_0", "VPJ")</f>
        <v>189112862</v>
      </c>
      <c r="AC23">
        <f>RTD("rtdtrading.rtdserver",, "SUZB3_B_0", "SEM")</f>
        <v>-0.41502386387217854</v>
      </c>
      <c r="AD23">
        <f>RTD("rtdtrading.rtdserver",, "SUZB3_B_0", "MES")</f>
        <v>-3.8276553106212496</v>
      </c>
      <c r="AE23">
        <f>RTD("rtdtrading.rtdserver",, "SUZB3_B_0", "3M")</f>
        <v>-3.9239239239239256</v>
      </c>
      <c r="AF23">
        <f>RTD("rtdtrading.rtdserver",, "SUZB3_B_0", "6M")</f>
        <v>-7.0681642137877585</v>
      </c>
      <c r="AG23">
        <f>RTD("rtdtrading.rtdserver",, "SUZB3_B_0", "12M")</f>
        <v>-9.0149000187695858</v>
      </c>
      <c r="AH23">
        <f>RTD("rtdtrading.rtdserver",, "SUZB3_B_0", "ANO")</f>
        <v>-22.321139527355129</v>
      </c>
      <c r="AI23">
        <f>RTD("rtdtrading.rtdserver",, "SUZB3_B_0", "TRIM")</f>
        <v>-3.8276553106212496</v>
      </c>
      <c r="AJ23">
        <f>RTD("rtdtrading.rtdserver",, "SUZB3_B_0", "SEMES")</f>
        <v>-6.2878344073423129</v>
      </c>
      <c r="AK23" t="str">
        <f>RTD("rtdtrading.rtdserver",, "SUZB3_B_0", "VEN")</f>
        <v>-</v>
      </c>
      <c r="AL23" t="str">
        <f>RTD("rtdtrading.rtdserver",, "SUZB3_B_0", "VAL")</f>
        <v>31/12/9999</v>
      </c>
      <c r="AM23">
        <f>RTD("rtdtrading.rtdserver",, "SUZB3_B_0", "CAB")</f>
        <v>0</v>
      </c>
      <c r="AN23" t="str">
        <f>RTD("rtdtrading.rtdserver",, "SUZB3_B_0", "EST")</f>
        <v>Pré-Fechamento</v>
      </c>
      <c r="AO23" t="str">
        <f>RTD("rtdtrading.rtdserver",, "SUZB3_B_0", "BLACK")</f>
        <v>-</v>
      </c>
      <c r="AP23" t="str">
        <f>RTD("rtdtrading.rtdserver",, "SUZB3_B_0", "IMPVT")</f>
        <v>-</v>
      </c>
      <c r="AQ23" t="str">
        <f>RTD("rtdtrading.rtdserver",, "SUZB3_B_0", "DELTA")</f>
        <v>-</v>
      </c>
      <c r="AR23" t="str">
        <f>RTD("rtdtrading.rtdserver",, "SUZB3_B_0", "GAMA")</f>
        <v>-</v>
      </c>
      <c r="AS23" t="str">
        <f>RTD("rtdtrading.rtdserver",, "SUZB3_B_0", "THETA")</f>
        <v>-</v>
      </c>
      <c r="AT23" t="str">
        <f>RTD("rtdtrading.rtdserver",, "SUZB3_B_0", "RHO")</f>
        <v>-</v>
      </c>
      <c r="AU23" t="str">
        <f>RTD("rtdtrading.rtdserver",, "SUZB3_B_0", "VEGA")</f>
        <v>-</v>
      </c>
      <c r="AV23" t="str">
        <f>RTD("rtdtrading.rtdserver",, "SUZB3_B_0", "VIA")</f>
        <v>-</v>
      </c>
      <c r="AW23" t="str">
        <f>RTD("rtdtrading.rtdserver",, "SUZB3_B_0", "VIB")</f>
        <v>-</v>
      </c>
      <c r="AX23" t="str">
        <f>RTD("rtdtrading.rtdserver",, "SUZB3_B_0", "DOBRAR")</f>
        <v>-</v>
      </c>
      <c r="AY23" t="str">
        <f>RTD("rtdtrading.rtdserver",, "SUZB3_B_0", "VIVH")</f>
        <v>-</v>
      </c>
      <c r="AZ23" t="str">
        <f>RTD("rtdtrading.rtdserver",, "SUZB3_B_0", "VINT")</f>
        <v>-</v>
      </c>
      <c r="BA23" t="str">
        <f>RTD("rtdtrading.rtdserver",, "SUZB3_B_0", "VEXT")</f>
        <v>-</v>
      </c>
    </row>
    <row r="24" spans="3:53" x14ac:dyDescent="0.25">
      <c r="C24" t="s">
        <v>215</v>
      </c>
      <c r="D24" t="str">
        <f>RTD("rtdtrading.rtdserver",, "EMBR3_B_0", "DAT")</f>
        <v>14/10/2025</v>
      </c>
      <c r="E24" t="str">
        <f>RTD("rtdtrading.rtdserver",, "EMBR3_B_0", "HOR")</f>
        <v>17:07:41</v>
      </c>
      <c r="F24">
        <f>RTD("rtdtrading.rtdserver",, "EMBR3_B_0", "ULT")</f>
        <v>82.65</v>
      </c>
      <c r="G24">
        <f>RTD("rtdtrading.rtdserver",, "EMBR3_B_0", "ABE")</f>
        <v>79.11</v>
      </c>
      <c r="H24">
        <f>RTD("rtdtrading.rtdserver",, "EMBR3_B_0", "MAX")</f>
        <v>82.66</v>
      </c>
      <c r="I24">
        <f>RTD("rtdtrading.rtdserver",, "EMBR3_B_0", "MIN")</f>
        <v>78.95</v>
      </c>
      <c r="J24">
        <f>RTD("rtdtrading.rtdserver",, "EMBR3_B_0", "FEC")</f>
        <v>78.8</v>
      </c>
      <c r="K24">
        <f>RTD("rtdtrading.rtdserver",, "EMBR3_B_0", "PEX")</f>
        <v>0</v>
      </c>
      <c r="L24">
        <f>RTD("rtdtrading.rtdserver",, "EMBR3_B_0", "VAR")</f>
        <v>4.8857868020304682</v>
      </c>
      <c r="M24">
        <f>RTD("rtdtrading.rtdserver",, "EMBR3_B_0", "VARPTS")</f>
        <v>3.8500000000000085</v>
      </c>
      <c r="N24">
        <f>RTD("rtdtrading.rtdserver",, "EMBR3_B_0", "MED")</f>
        <v>81.353820848552971</v>
      </c>
      <c r="O24" t="s">
        <v>216</v>
      </c>
      <c r="P24">
        <f>RTD("rtdtrading.rtdserver",, "EMBR3_B_0", "NEG")</f>
        <v>36618</v>
      </c>
      <c r="Q24">
        <f>RTD("rtdtrading.rtdserver",, "EMBR3_B_0", "QUL")</f>
        <v>0</v>
      </c>
      <c r="R24">
        <f>RTD("rtdtrading.rtdserver",, "EMBR3_B_0", "QTT")</f>
        <v>8897500</v>
      </c>
      <c r="S24">
        <f>RTD("rtdtrading.rtdserver",, "EMBR3_B_0", "VOL")</f>
        <v>723845621</v>
      </c>
      <c r="T24">
        <f>RTD("rtdtrading.rtdserver",, "EMBR3_B_0", "OCP")</f>
        <v>82.23</v>
      </c>
      <c r="U24">
        <f>RTD("rtdtrading.rtdserver",, "EMBR3_B_0", "OVD")</f>
        <v>82.7</v>
      </c>
      <c r="V24">
        <f>RTD("rtdtrading.rtdserver",, "EMBR3_B_0", "VOC")</f>
        <v>100</v>
      </c>
      <c r="W24">
        <f>RTD("rtdtrading.rtdserver",, "EMBR3_B_0", "VOV")</f>
        <v>1800</v>
      </c>
      <c r="X24">
        <f>RTD("rtdtrading.rtdserver",, "EMBR3_B_0", "AJU")</f>
        <v>0</v>
      </c>
      <c r="Y24">
        <f>RTD("rtdtrading.rtdserver",, "EMBR3_B_0", "AJA")</f>
        <v>0</v>
      </c>
      <c r="Z24">
        <f>RTD("rtdtrading.rtdserver",, "EMBR3_B_0", "PRT")</f>
        <v>0</v>
      </c>
      <c r="AA24">
        <f>RTD("rtdtrading.rtdserver",, "EMBR3_B_0", "QTE")</f>
        <v>0</v>
      </c>
      <c r="AB24">
        <f>RTD("rtdtrading.rtdserver",, "EMBR3_B_0", "VPJ")</f>
        <v>723845621</v>
      </c>
      <c r="AC24">
        <f>RTD("rtdtrading.rtdserver",, "EMBR3_B_0", "SEM")</f>
        <v>7.0595854922279822</v>
      </c>
      <c r="AD24">
        <f>RTD("rtdtrading.rtdserver",, "EMBR3_B_0", "MES")</f>
        <v>2.9393448748287447</v>
      </c>
      <c r="AE24">
        <f>RTD("rtdtrading.rtdserver",, "EMBR3_B_0", "3M")</f>
        <v>12.235198261814238</v>
      </c>
      <c r="AF24">
        <f>RTD("rtdtrading.rtdserver",, "EMBR3_B_0", "6M")</f>
        <v>36.279319015623074</v>
      </c>
      <c r="AG24">
        <f>RTD("rtdtrading.rtdserver",, "EMBR3_B_0", "12M")</f>
        <v>82.356536262805221</v>
      </c>
      <c r="AH24">
        <f>RTD("rtdtrading.rtdserver",, "EMBR3_B_0", "ANO")</f>
        <v>47.24169015288907</v>
      </c>
      <c r="AI24">
        <f>RTD("rtdtrading.rtdserver",, "EMBR3_B_0", "TRIM")</f>
        <v>2.9393448748287447</v>
      </c>
      <c r="AJ24">
        <f>RTD("rtdtrading.rtdserver",, "EMBR3_B_0", "SEMES")</f>
        <v>7.3237241916634206</v>
      </c>
      <c r="AK24" t="str">
        <f>RTD("rtdtrading.rtdserver",, "EMBR3_B_0", "VEN")</f>
        <v>-</v>
      </c>
      <c r="AL24" t="str">
        <f>RTD("rtdtrading.rtdserver",, "EMBR3_B_0", "VAL")</f>
        <v>31/12/9999</v>
      </c>
      <c r="AM24">
        <f>RTD("rtdtrading.rtdserver",, "EMBR3_B_0", "CAB")</f>
        <v>0</v>
      </c>
      <c r="AN24" t="str">
        <f>RTD("rtdtrading.rtdserver",, "EMBR3_B_0", "EST")</f>
        <v>Pré-Fechamento</v>
      </c>
      <c r="AO24" t="str">
        <f>RTD("rtdtrading.rtdserver",, "EMBR3_B_0", "BLACK")</f>
        <v>-</v>
      </c>
      <c r="AP24" t="str">
        <f>RTD("rtdtrading.rtdserver",, "EMBR3_B_0", "IMPVT")</f>
        <v>-</v>
      </c>
      <c r="AQ24" t="str">
        <f>RTD("rtdtrading.rtdserver",, "EMBR3_B_0", "DELTA")</f>
        <v>-</v>
      </c>
      <c r="AR24" t="str">
        <f>RTD("rtdtrading.rtdserver",, "EMBR3_B_0", "GAMA")</f>
        <v>-</v>
      </c>
      <c r="AS24" t="str">
        <f>RTD("rtdtrading.rtdserver",, "EMBR3_B_0", "THETA")</f>
        <v>-</v>
      </c>
      <c r="AT24" t="str">
        <f>RTD("rtdtrading.rtdserver",, "EMBR3_B_0", "RHO")</f>
        <v>-</v>
      </c>
      <c r="AU24" t="str">
        <f>RTD("rtdtrading.rtdserver",, "EMBR3_B_0", "VEGA")</f>
        <v>-</v>
      </c>
      <c r="AV24" t="str">
        <f>RTD("rtdtrading.rtdserver",, "EMBR3_B_0", "VIA")</f>
        <v>-</v>
      </c>
      <c r="AW24" t="str">
        <f>RTD("rtdtrading.rtdserver",, "EMBR3_B_0", "VIB")</f>
        <v>-</v>
      </c>
      <c r="AX24" t="str">
        <f>RTD("rtdtrading.rtdserver",, "EMBR3_B_0", "DOBRAR")</f>
        <v>-</v>
      </c>
      <c r="AY24" t="str">
        <f>RTD("rtdtrading.rtdserver",, "EMBR3_B_0", "VIVH")</f>
        <v>-</v>
      </c>
      <c r="AZ24" t="str">
        <f>RTD("rtdtrading.rtdserver",, "EMBR3_B_0", "VINT")</f>
        <v>-</v>
      </c>
      <c r="BA24" t="str">
        <f>RTD("rtdtrading.rtdserver",, "EMBR3_B_0", "VEXT")</f>
        <v>-</v>
      </c>
    </row>
    <row r="25" spans="3:53" x14ac:dyDescent="0.25">
      <c r="C25" t="s">
        <v>166</v>
      </c>
      <c r="D25" t="str">
        <f>RTD("rtdtrading.rtdserver",, "BBDC4_B_0", "DAT")</f>
        <v>14/10/2025</v>
      </c>
      <c r="E25" t="str">
        <f>RTD("rtdtrading.rtdserver",, "BBDC4_B_0", "HOR")</f>
        <v>17:07:37</v>
      </c>
      <c r="F25">
        <f>RTD("rtdtrading.rtdserver",, "BBDC4_B_0", "ULT")</f>
        <v>17.16</v>
      </c>
      <c r="G25">
        <f>RTD("rtdtrading.rtdserver",, "BBDC4_B_0", "ABE")</f>
        <v>17.02</v>
      </c>
      <c r="H25">
        <f>RTD("rtdtrading.rtdserver",, "BBDC4_B_0", "MAX")</f>
        <v>17.350000000000001</v>
      </c>
      <c r="I25">
        <f>RTD("rtdtrading.rtdserver",, "BBDC4_B_0", "MIN")</f>
        <v>16.97</v>
      </c>
      <c r="J25">
        <f>RTD("rtdtrading.rtdserver",, "BBDC4_B_0", "FEC")</f>
        <v>16.920000000000002</v>
      </c>
      <c r="K25">
        <f>RTD("rtdtrading.rtdserver",, "BBDC4_B_0", "PEX")</f>
        <v>0</v>
      </c>
      <c r="L25">
        <f>RTD("rtdtrading.rtdserver",, "BBDC4_B_0", "VAR")</f>
        <v>1.4184397163120472</v>
      </c>
      <c r="M25">
        <f>RTD("rtdtrading.rtdserver",, "BBDC4_B_0", "VARPTS")</f>
        <v>0.23999999999999844</v>
      </c>
      <c r="N25">
        <f>RTD("rtdtrading.rtdserver",, "BBDC4_B_0", "MED")</f>
        <v>17.214006561597714</v>
      </c>
      <c r="O25" t="s">
        <v>454</v>
      </c>
      <c r="P25">
        <f>RTD("rtdtrading.rtdserver",, "BBDC4_B_0", "NEG")</f>
        <v>40307</v>
      </c>
      <c r="Q25">
        <f>RTD("rtdtrading.rtdserver",, "BBDC4_B_0", "QUL")</f>
        <v>0</v>
      </c>
      <c r="R25">
        <f>RTD("rtdtrading.rtdserver",, "BBDC4_B_0", "QTT")</f>
        <v>38374800</v>
      </c>
      <c r="S25">
        <f>RTD("rtdtrading.rtdserver",, "BBDC4_B_0", "VOL")</f>
        <v>660584059</v>
      </c>
      <c r="T25">
        <f>RTD("rtdtrading.rtdserver",, "BBDC4_B_0", "OCP")</f>
        <v>17.18</v>
      </c>
      <c r="U25">
        <f>RTD("rtdtrading.rtdserver",, "BBDC4_B_0", "OVD")</f>
        <v>17.29</v>
      </c>
      <c r="V25">
        <f>RTD("rtdtrading.rtdserver",, "BBDC4_B_0", "VOC")</f>
        <v>5700</v>
      </c>
      <c r="W25">
        <f>RTD("rtdtrading.rtdserver",, "BBDC4_B_0", "VOV")</f>
        <v>100</v>
      </c>
      <c r="X25">
        <f>RTD("rtdtrading.rtdserver",, "BBDC4_B_0", "AJU")</f>
        <v>0</v>
      </c>
      <c r="Y25">
        <f>RTD("rtdtrading.rtdserver",, "BBDC4_B_0", "AJA")</f>
        <v>0</v>
      </c>
      <c r="Z25">
        <f>RTD("rtdtrading.rtdserver",, "BBDC4_B_0", "PRT")</f>
        <v>0</v>
      </c>
      <c r="AA25">
        <f>RTD("rtdtrading.rtdserver",, "BBDC4_B_0", "QTE")</f>
        <v>0</v>
      </c>
      <c r="AB25">
        <f>RTD("rtdtrading.rtdserver",, "BBDC4_B_0", "VPJ")</f>
        <v>660584059</v>
      </c>
      <c r="AC25">
        <f>RTD("rtdtrading.rtdserver",, "BBDC4_B_0", "SEM")</f>
        <v>1.8397626112759566</v>
      </c>
      <c r="AD25">
        <f>RTD("rtdtrading.rtdserver",, "BBDC4_B_0", "MES")</f>
        <v>-2.9060293318848465</v>
      </c>
      <c r="AE25">
        <f>RTD("rtdtrading.rtdserver",, "BBDC4_B_0", "3M")</f>
        <v>8.3648029099359675</v>
      </c>
      <c r="AF25">
        <f>RTD("rtdtrading.rtdserver",, "BBDC4_B_0", "6M")</f>
        <v>40.884386134874624</v>
      </c>
      <c r="AG25">
        <f>RTD("rtdtrading.rtdserver",, "BBDC4_B_0", "12M")</f>
        <v>25.682059545171558</v>
      </c>
      <c r="AH25">
        <f>RTD("rtdtrading.rtdserver",, "BBDC4_B_0", "ANO")</f>
        <v>60.514844816941995</v>
      </c>
      <c r="AI25">
        <f>RTD("rtdtrading.rtdserver",, "BBDC4_B_0", "TRIM")</f>
        <v>-2.9060293318848465</v>
      </c>
      <c r="AJ25">
        <f>RTD("rtdtrading.rtdserver",, "BBDC4_B_0", "SEMES")</f>
        <v>5.411232807710503</v>
      </c>
      <c r="AK25" t="str">
        <f>RTD("rtdtrading.rtdserver",, "BBDC4_B_0", "VEN")</f>
        <v>-</v>
      </c>
      <c r="AL25" t="str">
        <f>RTD("rtdtrading.rtdserver",, "BBDC4_B_0", "VAL")</f>
        <v>31/12/9999</v>
      </c>
      <c r="AM25">
        <f>RTD("rtdtrading.rtdserver",, "BBDC4_B_0", "CAB")</f>
        <v>0</v>
      </c>
      <c r="AN25" t="str">
        <f>RTD("rtdtrading.rtdserver",, "BBDC4_B_0", "EST")</f>
        <v>Pré-Fechamento</v>
      </c>
      <c r="AO25" t="str">
        <f>RTD("rtdtrading.rtdserver",, "BBDC4_B_0", "BLACK")</f>
        <v>-</v>
      </c>
      <c r="AP25" t="str">
        <f>RTD("rtdtrading.rtdserver",, "BBDC4_B_0", "IMPVT")</f>
        <v>-</v>
      </c>
      <c r="AQ25" t="str">
        <f>RTD("rtdtrading.rtdserver",, "BBDC4_B_0", "DELTA")</f>
        <v>-</v>
      </c>
      <c r="AR25" t="str">
        <f>RTD("rtdtrading.rtdserver",, "BBDC4_B_0", "GAMA")</f>
        <v>-</v>
      </c>
      <c r="AS25" t="str">
        <f>RTD("rtdtrading.rtdserver",, "BBDC4_B_0", "THETA")</f>
        <v>-</v>
      </c>
      <c r="AT25" t="str">
        <f>RTD("rtdtrading.rtdserver",, "BBDC4_B_0", "RHO")</f>
        <v>-</v>
      </c>
      <c r="AU25" t="str">
        <f>RTD("rtdtrading.rtdserver",, "BBDC4_B_0", "VEGA")</f>
        <v>-</v>
      </c>
      <c r="AV25" t="str">
        <f>RTD("rtdtrading.rtdserver",, "BBDC4_B_0", "VIA")</f>
        <v>-</v>
      </c>
      <c r="AW25" t="str">
        <f>RTD("rtdtrading.rtdserver",, "BBDC4_B_0", "VIB")</f>
        <v>-</v>
      </c>
      <c r="AX25" t="str">
        <f>RTD("rtdtrading.rtdserver",, "BBDC4_B_0", "DOBRAR")</f>
        <v>-</v>
      </c>
      <c r="AY25" t="str">
        <f>RTD("rtdtrading.rtdserver",, "BBDC4_B_0", "VIVH")</f>
        <v>-</v>
      </c>
      <c r="AZ25" t="str">
        <f>RTD("rtdtrading.rtdserver",, "BBDC4_B_0", "VINT")</f>
        <v>-</v>
      </c>
      <c r="BA25" t="str">
        <f>RTD("rtdtrading.rtdserver",, "BBDC4_B_0", "VEXT")</f>
        <v>-</v>
      </c>
    </row>
    <row r="26" spans="3:53" x14ac:dyDescent="0.25">
      <c r="C26" t="s">
        <v>222</v>
      </c>
      <c r="D26" t="str">
        <f>RTD("rtdtrading.rtdserver",, "CYRE3_B_0", "DAT")</f>
        <v>14/10/2025</v>
      </c>
      <c r="E26" t="str">
        <f>RTD("rtdtrading.rtdserver",, "CYRE3_B_0", "HOR")</f>
        <v>17:35:37</v>
      </c>
      <c r="F26">
        <f>RTD("rtdtrading.rtdserver",, "CYRE3_B_0", "ULT")</f>
        <v>28.82</v>
      </c>
      <c r="G26">
        <f>RTD("rtdtrading.rtdserver",, "CYRE3_B_0", "ABE")</f>
        <v>28.96</v>
      </c>
      <c r="H26">
        <f>RTD("rtdtrading.rtdserver",, "CYRE3_B_0", "MAX")</f>
        <v>28.96</v>
      </c>
      <c r="I26">
        <f>RTD("rtdtrading.rtdserver",, "CYRE3_B_0", "MIN")</f>
        <v>28.5</v>
      </c>
      <c r="J26">
        <f>RTD("rtdtrading.rtdserver",, "CYRE3_B_0", "FEC")</f>
        <v>28.970000000000002</v>
      </c>
      <c r="K26">
        <f>RTD("rtdtrading.rtdserver",, "CYRE3_B_0", "PEX")</f>
        <v>0</v>
      </c>
      <c r="L26">
        <f>RTD("rtdtrading.rtdserver",, "CYRE3_B_0", "VAR")</f>
        <v>-0.51777701070073223</v>
      </c>
      <c r="M26">
        <f>RTD("rtdtrading.rtdserver",, "CYRE3_B_0", "VARPTS")</f>
        <v>-0.15000000000000213</v>
      </c>
      <c r="N26">
        <f>RTD("rtdtrading.rtdserver",, "CYRE3_B_0", "MED")</f>
        <v>28.709836601307188</v>
      </c>
      <c r="O26" t="s">
        <v>223</v>
      </c>
      <c r="P26">
        <f>RTD("rtdtrading.rtdserver",, "CYRE3_B_0", "NEG")</f>
        <v>11106</v>
      </c>
      <c r="Q26">
        <f>RTD("rtdtrading.rtdserver",, "CYRE3_B_0", "QUL")</f>
        <v>0</v>
      </c>
      <c r="R26">
        <f>RTD("rtdtrading.rtdserver",, "CYRE3_B_0", "QTT")</f>
        <v>3457800</v>
      </c>
      <c r="S26">
        <f>RTD("rtdtrading.rtdserver",, "CYRE3_B_0", "VOL")</f>
        <v>99272873</v>
      </c>
      <c r="T26">
        <f>RTD("rtdtrading.rtdserver",, "CYRE3_B_0", "OCP")</f>
        <v>28.47</v>
      </c>
      <c r="U26">
        <f>RTD("rtdtrading.rtdserver",, "CYRE3_B_0", "OVD")</f>
        <v>29.080000000000002</v>
      </c>
      <c r="V26">
        <f>RTD("rtdtrading.rtdserver",, "CYRE3_B_0", "VOC")</f>
        <v>200</v>
      </c>
      <c r="W26">
        <f>RTD("rtdtrading.rtdserver",, "CYRE3_B_0", "VOV")</f>
        <v>100</v>
      </c>
      <c r="X26">
        <f>RTD("rtdtrading.rtdserver",, "CYRE3_B_0", "AJU")</f>
        <v>0</v>
      </c>
      <c r="Y26">
        <f>RTD("rtdtrading.rtdserver",, "CYRE3_B_0", "AJA")</f>
        <v>0</v>
      </c>
      <c r="Z26">
        <f>RTD("rtdtrading.rtdserver",, "CYRE3_B_0", "PRT")</f>
        <v>0</v>
      </c>
      <c r="AA26">
        <f>RTD("rtdtrading.rtdserver",, "CYRE3_B_0", "QTE")</f>
        <v>0</v>
      </c>
      <c r="AB26">
        <f>RTD("rtdtrading.rtdserver",, "CYRE3_B_0", "VPJ")</f>
        <v>99272873</v>
      </c>
      <c r="AC26">
        <f>RTD("rtdtrading.rtdserver",, "CYRE3_B_0", "SEM")</f>
        <v>-0.68917987594763208</v>
      </c>
      <c r="AD26">
        <f>RTD("rtdtrading.rtdserver",, "CYRE3_B_0", "MES")</f>
        <v>-6.1237785016286725</v>
      </c>
      <c r="AE26">
        <f>RTD("rtdtrading.rtdserver",, "CYRE3_B_0", "3M")</f>
        <v>12.931034482758625</v>
      </c>
      <c r="AF26">
        <f>RTD("rtdtrading.rtdserver",, "CYRE3_B_0", "6M")</f>
        <v>20.704963897404969</v>
      </c>
      <c r="AG26">
        <f>RTD("rtdtrading.rtdserver",, "CYRE3_B_0", "12M")</f>
        <v>40.559310956993329</v>
      </c>
      <c r="AH26">
        <f>RTD("rtdtrading.rtdserver",, "CYRE3_B_0", "ANO")</f>
        <v>77.460868708513431</v>
      </c>
      <c r="AI26">
        <f>RTD("rtdtrading.rtdserver",, "CYRE3_B_0", "TRIM")</f>
        <v>-6.1237785016286725</v>
      </c>
      <c r="AJ26">
        <f>RTD("rtdtrading.rtdserver",, "CYRE3_B_0", "SEMES")</f>
        <v>10.252486610558529</v>
      </c>
      <c r="AK26" t="str">
        <f>RTD("rtdtrading.rtdserver",, "CYRE3_B_0", "VEN")</f>
        <v>-</v>
      </c>
      <c r="AL26" t="str">
        <f>RTD("rtdtrading.rtdserver",, "CYRE3_B_0", "VAL")</f>
        <v>31/12/9999</v>
      </c>
      <c r="AM26">
        <f>RTD("rtdtrading.rtdserver",, "CYRE3_B_0", "CAB")</f>
        <v>0</v>
      </c>
      <c r="AN26" t="str">
        <f>RTD("rtdtrading.rtdserver",, "CYRE3_B_0", "EST")</f>
        <v>Pré-Fechamento</v>
      </c>
      <c r="AO26" t="str">
        <f>RTD("rtdtrading.rtdserver",, "CYRE3_B_0", "BLACK")</f>
        <v>-</v>
      </c>
      <c r="AP26" t="str">
        <f>RTD("rtdtrading.rtdserver",, "CYRE3_B_0", "IMPVT")</f>
        <v>-</v>
      </c>
      <c r="AQ26" t="str">
        <f>RTD("rtdtrading.rtdserver",, "CYRE3_B_0", "DELTA")</f>
        <v>-</v>
      </c>
      <c r="AR26" t="str">
        <f>RTD("rtdtrading.rtdserver",, "CYRE3_B_0", "GAMA")</f>
        <v>-</v>
      </c>
      <c r="AS26" t="str">
        <f>RTD("rtdtrading.rtdserver",, "CYRE3_B_0", "THETA")</f>
        <v>-</v>
      </c>
      <c r="AT26" t="str">
        <f>RTD("rtdtrading.rtdserver",, "CYRE3_B_0", "RHO")</f>
        <v>-</v>
      </c>
      <c r="AU26" t="str">
        <f>RTD("rtdtrading.rtdserver",, "CYRE3_B_0", "VEGA")</f>
        <v>-</v>
      </c>
      <c r="AV26" t="str">
        <f>RTD("rtdtrading.rtdserver",, "CYRE3_B_0", "VIA")</f>
        <v>-</v>
      </c>
      <c r="AW26" t="str">
        <f>RTD("rtdtrading.rtdserver",, "CYRE3_B_0", "VIB")</f>
        <v>-</v>
      </c>
      <c r="AX26" t="str">
        <f>RTD("rtdtrading.rtdserver",, "CYRE3_B_0", "DOBRAR")</f>
        <v>-</v>
      </c>
      <c r="AY26" t="str">
        <f>RTD("rtdtrading.rtdserver",, "CYRE3_B_0", "VIVH")</f>
        <v>-</v>
      </c>
      <c r="AZ26" t="str">
        <f>RTD("rtdtrading.rtdserver",, "CYRE3_B_0", "VINT")</f>
        <v>-</v>
      </c>
      <c r="BA26" t="str">
        <f>RTD("rtdtrading.rtdserver",, "CYRE3_B_0", "VEXT")</f>
        <v>-</v>
      </c>
    </row>
    <row r="27" spans="3:53" x14ac:dyDescent="0.25">
      <c r="C27" t="s">
        <v>225</v>
      </c>
      <c r="D27" t="str">
        <f>RTD("rtdtrading.rtdserver",, "USIM5_B_0", "DAT")</f>
        <v>14/10/2025</v>
      </c>
      <c r="E27" t="str">
        <f>RTD("rtdtrading.rtdserver",, "USIM5_B_0", "HOR")</f>
        <v>17:07:00</v>
      </c>
      <c r="F27">
        <f>RTD("rtdtrading.rtdserver",, "USIM5_B_0", "ULT")</f>
        <v>4.6500000000000004</v>
      </c>
      <c r="G27">
        <f>RTD("rtdtrading.rtdserver",, "USIM5_B_0", "ABE")</f>
        <v>4.46</v>
      </c>
      <c r="H27">
        <f>RTD("rtdtrading.rtdserver",, "USIM5_B_0", "MAX")</f>
        <v>4.68</v>
      </c>
      <c r="I27">
        <f>RTD("rtdtrading.rtdserver",, "USIM5_B_0", "MIN")</f>
        <v>4.41</v>
      </c>
      <c r="J27">
        <f>RTD("rtdtrading.rtdserver",, "USIM5_B_0", "FEC")</f>
        <v>4.5200000000000005</v>
      </c>
      <c r="K27">
        <f>RTD("rtdtrading.rtdserver",, "USIM5_B_0", "PEX")</f>
        <v>0</v>
      </c>
      <c r="L27">
        <f>RTD("rtdtrading.rtdserver",, "USIM5_B_0", "VAR")</f>
        <v>2.8761061946902626</v>
      </c>
      <c r="M27">
        <f>RTD("rtdtrading.rtdserver",, "USIM5_B_0", "VARPTS")</f>
        <v>0.12999999999999989</v>
      </c>
      <c r="N27">
        <f>RTD("rtdtrading.rtdserver",, "USIM5_B_0", "MED")</f>
        <v>4.6011667112131311</v>
      </c>
      <c r="O27" t="s">
        <v>226</v>
      </c>
      <c r="P27">
        <f>RTD("rtdtrading.rtdserver",, "USIM5_B_0", "NEG")</f>
        <v>12508</v>
      </c>
      <c r="Q27">
        <f>RTD("rtdtrading.rtdserver",, "USIM5_B_0", "QUL")</f>
        <v>0</v>
      </c>
      <c r="R27">
        <f>RTD("rtdtrading.rtdserver",, "USIM5_B_0", "QTT")</f>
        <v>25441600</v>
      </c>
      <c r="S27">
        <f>RTD("rtdtrading.rtdserver",, "USIM5_B_0", "VOL")</f>
        <v>117061043</v>
      </c>
      <c r="T27">
        <f>RTD("rtdtrading.rtdserver",, "USIM5_B_0", "OCP")</f>
        <v>4.6100000000000003</v>
      </c>
      <c r="U27">
        <f>RTD("rtdtrading.rtdserver",, "USIM5_B_0", "OVD")</f>
        <v>4.67</v>
      </c>
      <c r="V27">
        <f>RTD("rtdtrading.rtdserver",, "USIM5_B_0", "VOC")</f>
        <v>200</v>
      </c>
      <c r="W27">
        <f>RTD("rtdtrading.rtdserver",, "USIM5_B_0", "VOV")</f>
        <v>1400</v>
      </c>
      <c r="X27">
        <f>RTD("rtdtrading.rtdserver",, "USIM5_B_0", "AJU")</f>
        <v>0</v>
      </c>
      <c r="Y27">
        <f>RTD("rtdtrading.rtdserver",, "USIM5_B_0", "AJA")</f>
        <v>0</v>
      </c>
      <c r="Z27">
        <f>RTD("rtdtrading.rtdserver",, "USIM5_B_0", "PRT")</f>
        <v>0</v>
      </c>
      <c r="AA27">
        <f>RTD("rtdtrading.rtdserver",, "USIM5_B_0", "QTE")</f>
        <v>0</v>
      </c>
      <c r="AB27">
        <f>RTD("rtdtrading.rtdserver",, "USIM5_B_0", "VPJ")</f>
        <v>117061043</v>
      </c>
      <c r="AC27">
        <f>RTD("rtdtrading.rtdserver",, "USIM5_B_0", "SEM")</f>
        <v>9.4117647058823604</v>
      </c>
      <c r="AD27">
        <f>RTD("rtdtrading.rtdserver",, "USIM5_B_0", "MES")</f>
        <v>9.9290780141843946</v>
      </c>
      <c r="AE27">
        <f>RTD("rtdtrading.rtdserver",, "USIM5_B_0", "3M")</f>
        <v>10.189573459715632</v>
      </c>
      <c r="AF27">
        <f>RTD("rtdtrading.rtdserver",, "USIM5_B_0", "6M")</f>
        <v>-14.206642066420658</v>
      </c>
      <c r="AG27">
        <f>RTD("rtdtrading.rtdserver",, "USIM5_B_0", "12M")</f>
        <v>-25.599999999999994</v>
      </c>
      <c r="AH27">
        <f>RTD("rtdtrading.rtdserver",, "USIM5_B_0", "ANO")</f>
        <v>-12.593984962406013</v>
      </c>
      <c r="AI27">
        <f>RTD("rtdtrading.rtdserver",, "USIM5_B_0", "TRIM")</f>
        <v>9.9290780141843946</v>
      </c>
      <c r="AJ27">
        <f>RTD("rtdtrading.rtdserver",, "USIM5_B_0", "SEMES")</f>
        <v>12.864077669902919</v>
      </c>
      <c r="AK27" t="str">
        <f>RTD("rtdtrading.rtdserver",, "USIM5_B_0", "VEN")</f>
        <v>-</v>
      </c>
      <c r="AL27" t="str">
        <f>RTD("rtdtrading.rtdserver",, "USIM5_B_0", "VAL")</f>
        <v>31/12/9999</v>
      </c>
      <c r="AM27">
        <f>RTD("rtdtrading.rtdserver",, "USIM5_B_0", "CAB")</f>
        <v>0</v>
      </c>
      <c r="AN27" t="str">
        <f>RTD("rtdtrading.rtdserver",, "USIM5_B_0", "EST")</f>
        <v>Pré-Fechamento</v>
      </c>
      <c r="AO27" t="str">
        <f>RTD("rtdtrading.rtdserver",, "USIM5_B_0", "BLACK")</f>
        <v>-</v>
      </c>
      <c r="AP27" t="str">
        <f>RTD("rtdtrading.rtdserver",, "USIM5_B_0", "IMPVT")</f>
        <v>-</v>
      </c>
      <c r="AQ27" t="str">
        <f>RTD("rtdtrading.rtdserver",, "USIM5_B_0", "DELTA")</f>
        <v>-</v>
      </c>
      <c r="AR27" t="str">
        <f>RTD("rtdtrading.rtdserver",, "USIM5_B_0", "GAMA")</f>
        <v>-</v>
      </c>
      <c r="AS27" t="str">
        <f>RTD("rtdtrading.rtdserver",, "USIM5_B_0", "THETA")</f>
        <v>-</v>
      </c>
      <c r="AT27" t="str">
        <f>RTD("rtdtrading.rtdserver",, "USIM5_B_0", "RHO")</f>
        <v>-</v>
      </c>
      <c r="AU27" t="str">
        <f>RTD("rtdtrading.rtdserver",, "USIM5_B_0", "VEGA")</f>
        <v>-</v>
      </c>
      <c r="AV27" t="str">
        <f>RTD("rtdtrading.rtdserver",, "USIM5_B_0", "VIA")</f>
        <v>-</v>
      </c>
      <c r="AW27" t="str">
        <f>RTD("rtdtrading.rtdserver",, "USIM5_B_0", "VIB")</f>
        <v>-</v>
      </c>
      <c r="AX27" t="str">
        <f>RTD("rtdtrading.rtdserver",, "USIM5_B_0", "DOBRAR")</f>
        <v>-</v>
      </c>
      <c r="AY27" t="str">
        <f>RTD("rtdtrading.rtdserver",, "USIM5_B_0", "VIVH")</f>
        <v>-</v>
      </c>
      <c r="AZ27" t="str">
        <f>RTD("rtdtrading.rtdserver",, "USIM5_B_0", "VINT")</f>
        <v>-</v>
      </c>
      <c r="BA27" t="str">
        <f>RTD("rtdtrading.rtdserver",, "USIM5_B_0", "VEXT")</f>
        <v>-</v>
      </c>
    </row>
    <row r="28" spans="3:53" x14ac:dyDescent="0.25">
      <c r="C28" t="s">
        <v>170</v>
      </c>
      <c r="D28" t="str">
        <f>RTD("rtdtrading.rtdserver",, "BRAP4_B_0", "DAT")</f>
        <v>14/10/2025</v>
      </c>
      <c r="E28" t="str">
        <f>RTD("rtdtrading.rtdserver",, "BRAP4_B_0", "HOR")</f>
        <v>17:07:57</v>
      </c>
      <c r="F28">
        <f>RTD("rtdtrading.rtdserver",, "BRAP4_B_0", "ULT")</f>
        <v>17.220000000000002</v>
      </c>
      <c r="G28">
        <f>RTD("rtdtrading.rtdserver",, "BRAP4_B_0", "ABE")</f>
        <v>17.18</v>
      </c>
      <c r="H28">
        <f>RTD("rtdtrading.rtdserver",, "BRAP4_B_0", "MAX")</f>
        <v>17.37</v>
      </c>
      <c r="I28">
        <f>RTD("rtdtrading.rtdserver",, "BRAP4_B_0", "MIN")</f>
        <v>17.13</v>
      </c>
      <c r="J28">
        <f>RTD("rtdtrading.rtdserver",, "BRAP4_B_0", "FEC")</f>
        <v>17.310000000000002</v>
      </c>
      <c r="K28">
        <f>RTD("rtdtrading.rtdserver",, "BRAP4_B_0", "PEX")</f>
        <v>0</v>
      </c>
      <c r="L28">
        <f>RTD("rtdtrading.rtdserver",, "BRAP4_B_0", "VAR")</f>
        <v>-0.51993067590987774</v>
      </c>
      <c r="M28">
        <f>RTD("rtdtrading.rtdserver",, "BRAP4_B_0", "VARPTS")</f>
        <v>-8.9999999999999858E-2</v>
      </c>
      <c r="N28">
        <f>RTD("rtdtrading.rtdserver",, "BRAP4_B_0", "MED")</f>
        <v>17.260701183431951</v>
      </c>
      <c r="O28" t="s">
        <v>229</v>
      </c>
      <c r="P28">
        <f>RTD("rtdtrading.rtdserver",, "BRAP4_B_0", "NEG")</f>
        <v>2741</v>
      </c>
      <c r="Q28">
        <f>RTD("rtdtrading.rtdserver",, "BRAP4_B_0", "QUL")</f>
        <v>0</v>
      </c>
      <c r="R28">
        <f>RTD("rtdtrading.rtdserver",, "BRAP4_B_0", "QTT")</f>
        <v>1014000</v>
      </c>
      <c r="S28">
        <f>RTD("rtdtrading.rtdserver",, "BRAP4_B_0", "VOL")</f>
        <v>17502351</v>
      </c>
      <c r="T28">
        <f>RTD("rtdtrading.rtdserver",, "BRAP4_B_0", "OCP")</f>
        <v>17.11</v>
      </c>
      <c r="U28">
        <f>RTD("rtdtrading.rtdserver",, "BRAP4_B_0", "OVD")</f>
        <v>17.3</v>
      </c>
      <c r="V28">
        <f>RTD("rtdtrading.rtdserver",, "BRAP4_B_0", "VOC")</f>
        <v>100</v>
      </c>
      <c r="W28">
        <f>RTD("rtdtrading.rtdserver",, "BRAP4_B_0", "VOV")</f>
        <v>1000</v>
      </c>
      <c r="X28">
        <f>RTD("rtdtrading.rtdserver",, "BRAP4_B_0", "AJU")</f>
        <v>0</v>
      </c>
      <c r="Y28">
        <f>RTD("rtdtrading.rtdserver",, "BRAP4_B_0", "AJA")</f>
        <v>0</v>
      </c>
      <c r="Z28">
        <f>RTD("rtdtrading.rtdserver",, "BRAP4_B_0", "PRT")</f>
        <v>0</v>
      </c>
      <c r="AA28">
        <f>RTD("rtdtrading.rtdserver",, "BRAP4_B_0", "QTE")</f>
        <v>0</v>
      </c>
      <c r="AB28">
        <f>RTD("rtdtrading.rtdserver",, "BRAP4_B_0", "VPJ")</f>
        <v>17502351</v>
      </c>
      <c r="AC28">
        <f>RTD("rtdtrading.rtdserver",, "BRAP4_B_0", "SEM")</f>
        <v>0.70175438596491801</v>
      </c>
      <c r="AD28">
        <f>RTD("rtdtrading.rtdserver",, "BRAP4_B_0", "MES")</f>
        <v>1.7129356172475056</v>
      </c>
      <c r="AE28">
        <f>RTD("rtdtrading.rtdserver",, "BRAP4_B_0", "3M")</f>
        <v>4.6808510638298069</v>
      </c>
      <c r="AF28">
        <f>RTD("rtdtrading.rtdserver",, "BRAP4_B_0", "6M")</f>
        <v>5.8246580056784003</v>
      </c>
      <c r="AG28">
        <f>RTD("rtdtrading.rtdserver",, "BRAP4_B_0", "12M")</f>
        <v>-1.5403615904490573</v>
      </c>
      <c r="AH28">
        <f>RTD("rtdtrading.rtdserver",, "BRAP4_B_0", "ANO")</f>
        <v>9.5900872520381188</v>
      </c>
      <c r="AI28">
        <f>RTD("rtdtrading.rtdserver",, "BRAP4_B_0", "TRIM")</f>
        <v>1.7129356172475056</v>
      </c>
      <c r="AJ28">
        <f>RTD("rtdtrading.rtdserver",, "BRAP4_B_0", "SEMES")</f>
        <v>9.6815286624203889</v>
      </c>
      <c r="AK28" t="str">
        <f>RTD("rtdtrading.rtdserver",, "BRAP4_B_0", "VEN")</f>
        <v>-</v>
      </c>
      <c r="AL28" t="str">
        <f>RTD("rtdtrading.rtdserver",, "BRAP4_B_0", "VAL")</f>
        <v>31/12/9999</v>
      </c>
      <c r="AM28">
        <f>RTD("rtdtrading.rtdserver",, "BRAP4_B_0", "CAB")</f>
        <v>0</v>
      </c>
      <c r="AN28" t="str">
        <f>RTD("rtdtrading.rtdserver",, "BRAP4_B_0", "EST")</f>
        <v>Pré-Fechamento</v>
      </c>
      <c r="AO28" t="str">
        <f>RTD("rtdtrading.rtdserver",, "BRAP4_B_0", "BLACK")</f>
        <v>-</v>
      </c>
      <c r="AP28" t="str">
        <f>RTD("rtdtrading.rtdserver",, "BRAP4_B_0", "IMPVT")</f>
        <v>-</v>
      </c>
      <c r="AQ28" t="str">
        <f>RTD("rtdtrading.rtdserver",, "BRAP4_B_0", "DELTA")</f>
        <v>-</v>
      </c>
      <c r="AR28" t="str">
        <f>RTD("rtdtrading.rtdserver",, "BRAP4_B_0", "GAMA")</f>
        <v>-</v>
      </c>
      <c r="AS28" t="str">
        <f>RTD("rtdtrading.rtdserver",, "BRAP4_B_0", "THETA")</f>
        <v>-</v>
      </c>
      <c r="AT28" t="str">
        <f>RTD("rtdtrading.rtdserver",, "BRAP4_B_0", "RHO")</f>
        <v>-</v>
      </c>
      <c r="AU28" t="str">
        <f>RTD("rtdtrading.rtdserver",, "BRAP4_B_0", "VEGA")</f>
        <v>-</v>
      </c>
      <c r="AV28" t="str">
        <f>RTD("rtdtrading.rtdserver",, "BRAP4_B_0", "VIA")</f>
        <v>-</v>
      </c>
      <c r="AW28" t="str">
        <f>RTD("rtdtrading.rtdserver",, "BRAP4_B_0", "VIB")</f>
        <v>-</v>
      </c>
      <c r="AX28" t="str">
        <f>RTD("rtdtrading.rtdserver",, "BRAP4_B_0", "DOBRAR")</f>
        <v>-</v>
      </c>
      <c r="AY28" t="str">
        <f>RTD("rtdtrading.rtdserver",, "BRAP4_B_0", "VIVH")</f>
        <v>-</v>
      </c>
      <c r="AZ28" t="str">
        <f>RTD("rtdtrading.rtdserver",, "BRAP4_B_0", "VINT")</f>
        <v>-</v>
      </c>
      <c r="BA28" t="str">
        <f>RTD("rtdtrading.rtdserver",, "BRAP4_B_0", "VEXT")</f>
        <v>-</v>
      </c>
    </row>
    <row r="29" spans="3:53" x14ac:dyDescent="0.25">
      <c r="C29" t="s">
        <v>232</v>
      </c>
      <c r="D29" t="str">
        <f>RTD("rtdtrading.rtdserver",, "ITSA4_B_0", "DAT")</f>
        <v>14/10/2025</v>
      </c>
      <c r="E29" t="str">
        <f>RTD("rtdtrading.rtdserver",, "ITSA4_B_0", "HOR")</f>
        <v>17:59:38</v>
      </c>
      <c r="F29">
        <f>RTD("rtdtrading.rtdserver",, "ITSA4_B_0", "ULT")</f>
        <v>11.01</v>
      </c>
      <c r="G29">
        <f>RTD("rtdtrading.rtdserver",, "ITSA4_B_0", "ABE")</f>
        <v>10.97</v>
      </c>
      <c r="H29">
        <f>RTD("rtdtrading.rtdserver",, "ITSA4_B_0", "MAX")</f>
        <v>11.15</v>
      </c>
      <c r="I29">
        <f>RTD("rtdtrading.rtdserver",, "ITSA4_B_0", "MIN")</f>
        <v>10.96</v>
      </c>
      <c r="J29">
        <f>RTD("rtdtrading.rtdserver",, "ITSA4_B_0", "FEC")</f>
        <v>11</v>
      </c>
      <c r="K29">
        <f>RTD("rtdtrading.rtdserver",, "ITSA4_B_0", "PEX")</f>
        <v>0</v>
      </c>
      <c r="L29">
        <f>RTD("rtdtrading.rtdserver",, "ITSA4_B_0", "VAR")</f>
        <v>9.0909090909088969E-2</v>
      </c>
      <c r="M29">
        <f>RTD("rtdtrading.rtdserver",, "ITSA4_B_0", "VARPTS")</f>
        <v>9.9999999999997868E-3</v>
      </c>
      <c r="N29">
        <f>RTD("rtdtrading.rtdserver",, "ITSA4_B_0", "MED")</f>
        <v>11.066239584077632</v>
      </c>
      <c r="O29" t="s">
        <v>455</v>
      </c>
      <c r="P29">
        <f>RTD("rtdtrading.rtdserver",, "ITSA4_B_0", "NEG")</f>
        <v>13963</v>
      </c>
      <c r="Q29">
        <f>RTD("rtdtrading.rtdserver",, "ITSA4_B_0", "QUL")</f>
        <v>0</v>
      </c>
      <c r="R29">
        <f>RTD("rtdtrading.rtdserver",, "ITSA4_B_0", "QTT")</f>
        <v>29390100</v>
      </c>
      <c r="S29">
        <f>RTD("rtdtrading.rtdserver",, "ITSA4_B_0", "VOL")</f>
        <v>325237888</v>
      </c>
      <c r="T29">
        <f>RTD("rtdtrading.rtdserver",, "ITSA4_B_0", "OCP")</f>
        <v>10.98</v>
      </c>
      <c r="U29">
        <f>RTD("rtdtrading.rtdserver",, "ITSA4_B_0", "OVD")</f>
        <v>11.1</v>
      </c>
      <c r="V29">
        <f>RTD("rtdtrading.rtdserver",, "ITSA4_B_0", "VOC")</f>
        <v>2000</v>
      </c>
      <c r="W29">
        <f>RTD("rtdtrading.rtdserver",, "ITSA4_B_0", "VOV")</f>
        <v>100</v>
      </c>
      <c r="X29">
        <f>RTD("rtdtrading.rtdserver",, "ITSA4_B_0", "AJU")</f>
        <v>0</v>
      </c>
      <c r="Y29">
        <f>RTD("rtdtrading.rtdserver",, "ITSA4_B_0", "AJA")</f>
        <v>0</v>
      </c>
      <c r="Z29">
        <f>RTD("rtdtrading.rtdserver",, "ITSA4_B_0", "PRT")</f>
        <v>0</v>
      </c>
      <c r="AA29">
        <f>RTD("rtdtrading.rtdserver",, "ITSA4_B_0", "QTE")</f>
        <v>0</v>
      </c>
      <c r="AB29">
        <f>RTD("rtdtrading.rtdserver",, "ITSA4_B_0", "VPJ")</f>
        <v>325237888</v>
      </c>
      <c r="AC29">
        <f>RTD("rtdtrading.rtdserver",, "ITSA4_B_0", "SEM")</f>
        <v>0.54794520547944037</v>
      </c>
      <c r="AD29">
        <f>RTD("rtdtrading.rtdserver",, "ITSA4_B_0", "MES")</f>
        <v>-4.0104620749782116</v>
      </c>
      <c r="AE29">
        <f>RTD("rtdtrading.rtdserver",, "ITSA4_B_0", "3M")</f>
        <v>7.379015741120007</v>
      </c>
      <c r="AF29">
        <f>RTD("rtdtrading.rtdserver",, "ITSA4_B_0", "6M")</f>
        <v>16.699348137156182</v>
      </c>
      <c r="AG29">
        <f>RTD("rtdtrading.rtdserver",, "ITSA4_B_0", "12M")</f>
        <v>22.048553375457253</v>
      </c>
      <c r="AH29">
        <f>RTD("rtdtrading.rtdserver",, "ITSA4_B_0", "ANO")</f>
        <v>36.831378007556168</v>
      </c>
      <c r="AI29">
        <f>RTD("rtdtrading.rtdserver",, "ITSA4_B_0", "TRIM")</f>
        <v>-4.0104620749782116</v>
      </c>
      <c r="AJ29">
        <f>RTD("rtdtrading.rtdserver",, "ITSA4_B_0", "SEMES")</f>
        <v>2.1819228020677612</v>
      </c>
      <c r="AK29" t="str">
        <f>RTD("rtdtrading.rtdserver",, "ITSA4_B_0", "VEN")</f>
        <v>-</v>
      </c>
      <c r="AL29" t="str">
        <f>RTD("rtdtrading.rtdserver",, "ITSA4_B_0", "VAL")</f>
        <v>31/12/9999</v>
      </c>
      <c r="AM29">
        <f>RTD("rtdtrading.rtdserver",, "ITSA4_B_0", "CAB")</f>
        <v>0</v>
      </c>
      <c r="AN29" t="str">
        <f>RTD("rtdtrading.rtdserver",, "ITSA4_B_0", "EST")</f>
        <v>Pré-Fechamento</v>
      </c>
      <c r="AO29" t="str">
        <f>RTD("rtdtrading.rtdserver",, "ITSA4_B_0", "BLACK")</f>
        <v>-</v>
      </c>
      <c r="AP29" t="str">
        <f>RTD("rtdtrading.rtdserver",, "ITSA4_B_0", "IMPVT")</f>
        <v>-</v>
      </c>
      <c r="AQ29" t="str">
        <f>RTD("rtdtrading.rtdserver",, "ITSA4_B_0", "DELTA")</f>
        <v>-</v>
      </c>
      <c r="AR29" t="str">
        <f>RTD("rtdtrading.rtdserver",, "ITSA4_B_0", "GAMA")</f>
        <v>-</v>
      </c>
      <c r="AS29" t="str">
        <f>RTD("rtdtrading.rtdserver",, "ITSA4_B_0", "THETA")</f>
        <v>-</v>
      </c>
      <c r="AT29" t="str">
        <f>RTD("rtdtrading.rtdserver",, "ITSA4_B_0", "RHO")</f>
        <v>-</v>
      </c>
      <c r="AU29" t="str">
        <f>RTD("rtdtrading.rtdserver",, "ITSA4_B_0", "VEGA")</f>
        <v>-</v>
      </c>
      <c r="AV29" t="str">
        <f>RTD("rtdtrading.rtdserver",, "ITSA4_B_0", "VIA")</f>
        <v>-</v>
      </c>
      <c r="AW29" t="str">
        <f>RTD("rtdtrading.rtdserver",, "ITSA4_B_0", "VIB")</f>
        <v>-</v>
      </c>
      <c r="AX29" t="str">
        <f>RTD("rtdtrading.rtdserver",, "ITSA4_B_0", "DOBRAR")</f>
        <v>-</v>
      </c>
      <c r="AY29" t="str">
        <f>RTD("rtdtrading.rtdserver",, "ITSA4_B_0", "VIVH")</f>
        <v>-</v>
      </c>
      <c r="AZ29" t="str">
        <f>RTD("rtdtrading.rtdserver",, "ITSA4_B_0", "VINT")</f>
        <v>-</v>
      </c>
      <c r="BA29" t="str">
        <f>RTD("rtdtrading.rtdserver",, "ITSA4_B_0", "VEXT")</f>
        <v>-</v>
      </c>
    </row>
    <row r="30" spans="3:53" x14ac:dyDescent="0.25">
      <c r="C30" t="s">
        <v>28</v>
      </c>
      <c r="D30" t="str">
        <f>RTD("rtdtrading.rtdserver",, "ITUB4_B_0", "DAT")</f>
        <v>14/10/2025</v>
      </c>
      <c r="E30" t="str">
        <f>RTD("rtdtrading.rtdserver",, "ITUB4_B_0", "HOR")</f>
        <v>17:57:31</v>
      </c>
      <c r="F30">
        <f>RTD("rtdtrading.rtdserver",, "ITUB4_B_0", "ULT")</f>
        <v>37.450000000000003</v>
      </c>
      <c r="G30">
        <f>RTD("rtdtrading.rtdserver",, "ITUB4_B_0", "ABE")</f>
        <v>37.19</v>
      </c>
      <c r="H30">
        <f>RTD("rtdtrading.rtdserver",, "ITUB4_B_0", "MAX")</f>
        <v>37.840000000000003</v>
      </c>
      <c r="I30">
        <f>RTD("rtdtrading.rtdserver",, "ITUB4_B_0", "MIN")</f>
        <v>37.19</v>
      </c>
      <c r="J30">
        <f>RTD("rtdtrading.rtdserver",, "ITUB4_B_0", "FEC")</f>
        <v>37.29</v>
      </c>
      <c r="K30">
        <f>RTD("rtdtrading.rtdserver",, "ITUB4_B_0", "PEX")</f>
        <v>0</v>
      </c>
      <c r="L30">
        <f>RTD("rtdtrading.rtdserver",, "ITUB4_B_0", "VAR")</f>
        <v>0.42906945561813808</v>
      </c>
      <c r="M30">
        <f>RTD("rtdtrading.rtdserver",, "ITUB4_B_0", "VARPTS")</f>
        <v>0.16000000000000369</v>
      </c>
      <c r="N30">
        <f>RTD("rtdtrading.rtdserver",, "ITUB4_B_0", "MED")</f>
        <v>37.599509220977176</v>
      </c>
      <c r="O30" t="s">
        <v>456</v>
      </c>
      <c r="P30">
        <f>RTD("rtdtrading.rtdserver",, "ITUB4_B_0", "NEG")</f>
        <v>24226</v>
      </c>
      <c r="Q30">
        <f>RTD("rtdtrading.rtdserver",, "ITUB4_B_0", "QUL")</f>
        <v>0</v>
      </c>
      <c r="R30">
        <f>RTD("rtdtrading.rtdserver",, "ITUB4_B_0", "QTT")</f>
        <v>20534700</v>
      </c>
      <c r="S30">
        <f>RTD("rtdtrading.rtdserver",, "ITUB4_B_0", "VOL")</f>
        <v>772094642</v>
      </c>
      <c r="T30">
        <f>RTD("rtdtrading.rtdserver",, "ITUB4_B_0", "OCP")</f>
        <v>37.29</v>
      </c>
      <c r="U30">
        <f>RTD("rtdtrading.rtdserver",, "ITUB4_B_0", "OVD")</f>
        <v>37.72</v>
      </c>
      <c r="V30">
        <f>RTD("rtdtrading.rtdserver",, "ITUB4_B_0", "VOC")</f>
        <v>400</v>
      </c>
      <c r="W30">
        <f>RTD("rtdtrading.rtdserver",, "ITUB4_B_0", "VOV")</f>
        <v>100</v>
      </c>
      <c r="X30">
        <f>RTD("rtdtrading.rtdserver",, "ITUB4_B_0", "AJU")</f>
        <v>0</v>
      </c>
      <c r="Y30">
        <f>RTD("rtdtrading.rtdserver",, "ITUB4_B_0", "AJA")</f>
        <v>0</v>
      </c>
      <c r="Z30">
        <f>RTD("rtdtrading.rtdserver",, "ITUB4_B_0", "PRT")</f>
        <v>0</v>
      </c>
      <c r="AA30">
        <f>RTD("rtdtrading.rtdserver",, "ITUB4_B_0", "QTE")</f>
        <v>0</v>
      </c>
      <c r="AB30">
        <f>RTD("rtdtrading.rtdserver",, "ITUB4_B_0", "VPJ")</f>
        <v>772094642</v>
      </c>
      <c r="AC30">
        <f>RTD("rtdtrading.rtdserver",, "ITUB4_B_0", "SEM")</f>
        <v>0.83467959073775522</v>
      </c>
      <c r="AD30">
        <f>RTD("rtdtrading.rtdserver",, "ITUB4_B_0", "MES")</f>
        <v>-4.1095890410958829</v>
      </c>
      <c r="AE30">
        <f>RTD("rtdtrading.rtdserver",, "ITUB4_B_0", "3M")</f>
        <v>8.3215225754201327</v>
      </c>
      <c r="AF30">
        <f>RTD("rtdtrading.rtdserver",, "ITUB4_B_0", "6M")</f>
        <v>19.925962930228387</v>
      </c>
      <c r="AG30">
        <f>RTD("rtdtrading.rtdserver",, "ITUB4_B_0", "12M")</f>
        <v>28.139327995620334</v>
      </c>
      <c r="AH30">
        <f>RTD("rtdtrading.rtdserver",, "ITUB4_B_0", "ANO")</f>
        <v>43.114273594747779</v>
      </c>
      <c r="AI30">
        <f>RTD("rtdtrading.rtdserver",, "ITUB4_B_0", "TRIM")</f>
        <v>-4.1095890410958829</v>
      </c>
      <c r="AJ30">
        <f>RTD("rtdtrading.rtdserver",, "ITUB4_B_0", "SEMES")</f>
        <v>2.3534459904506568</v>
      </c>
      <c r="AK30" t="str">
        <f>RTD("rtdtrading.rtdserver",, "ITUB4_B_0", "VEN")</f>
        <v>-</v>
      </c>
      <c r="AL30" t="str">
        <f>RTD("rtdtrading.rtdserver",, "ITUB4_B_0", "VAL")</f>
        <v>31/12/9999</v>
      </c>
      <c r="AM30">
        <f>RTD("rtdtrading.rtdserver",, "ITUB4_B_0", "CAB")</f>
        <v>0</v>
      </c>
      <c r="AN30" t="str">
        <f>RTD("rtdtrading.rtdserver",, "ITUB4_B_0", "EST")</f>
        <v>Pré-Fechamento</v>
      </c>
      <c r="AO30" t="str">
        <f>RTD("rtdtrading.rtdserver",, "ITUB4_B_0", "BLACK")</f>
        <v>-</v>
      </c>
      <c r="AP30" t="str">
        <f>RTD("rtdtrading.rtdserver",, "ITUB4_B_0", "IMPVT")</f>
        <v>-</v>
      </c>
      <c r="AQ30" t="str">
        <f>RTD("rtdtrading.rtdserver",, "ITUB4_B_0", "DELTA")</f>
        <v>-</v>
      </c>
      <c r="AR30" t="str">
        <f>RTD("rtdtrading.rtdserver",, "ITUB4_B_0", "GAMA")</f>
        <v>-</v>
      </c>
      <c r="AS30" t="str">
        <f>RTD("rtdtrading.rtdserver",, "ITUB4_B_0", "THETA")</f>
        <v>-</v>
      </c>
      <c r="AT30" t="str">
        <f>RTD("rtdtrading.rtdserver",, "ITUB4_B_0", "RHO")</f>
        <v>-</v>
      </c>
      <c r="AU30" t="str">
        <f>RTD("rtdtrading.rtdserver",, "ITUB4_B_0", "VEGA")</f>
        <v>-</v>
      </c>
      <c r="AV30" t="str">
        <f>RTD("rtdtrading.rtdserver",, "ITUB4_B_0", "VIA")</f>
        <v>-</v>
      </c>
      <c r="AW30" t="str">
        <f>RTD("rtdtrading.rtdserver",, "ITUB4_B_0", "VIB")</f>
        <v>-</v>
      </c>
      <c r="AX30" t="str">
        <f>RTD("rtdtrading.rtdserver",, "ITUB4_B_0", "DOBRAR")</f>
        <v>-</v>
      </c>
      <c r="AY30" t="str">
        <f>RTD("rtdtrading.rtdserver",, "ITUB4_B_0", "VIVH")</f>
        <v>-</v>
      </c>
      <c r="AZ30" t="str">
        <f>RTD("rtdtrading.rtdserver",, "ITUB4_B_0", "VINT")</f>
        <v>-</v>
      </c>
      <c r="BA30" t="str">
        <f>RTD("rtdtrading.rtdserver",, "ITUB4_B_0", "VEXT")</f>
        <v>-</v>
      </c>
    </row>
    <row r="31" spans="3:53" x14ac:dyDescent="0.25">
      <c r="C31" t="s">
        <v>186</v>
      </c>
      <c r="D31" t="str">
        <f>RTD("rtdtrading.rtdserver",, "BRFS3_B_0", "DAT")</f>
        <v>22/09/2025</v>
      </c>
      <c r="E31" t="str">
        <f>RTD("rtdtrading.rtdserver",, "BRFS3_B_0", "HOR")</f>
        <v>18:01:15</v>
      </c>
      <c r="F31">
        <f>RTD("rtdtrading.rtdserver",, "BRFS3_B_0", "ULT")</f>
        <v>17.95</v>
      </c>
      <c r="G31">
        <f>RTD("rtdtrading.rtdserver",, "BRFS3_B_0", "ABE")</f>
        <v>18.75</v>
      </c>
      <c r="H31">
        <f>RTD("rtdtrading.rtdserver",, "BRFS3_B_0", "MAX")</f>
        <v>18.77</v>
      </c>
      <c r="I31">
        <f>RTD("rtdtrading.rtdserver",, "BRFS3_B_0", "MIN")</f>
        <v>17.95</v>
      </c>
      <c r="J31">
        <f>RTD("rtdtrading.rtdserver",, "BRFS3_B_0", "FEC")</f>
        <v>17.95</v>
      </c>
      <c r="K31">
        <f>RTD("rtdtrading.rtdserver",, "BRFS3_B_0", "PEX")</f>
        <v>0</v>
      </c>
      <c r="L31">
        <f>RTD("rtdtrading.rtdserver",, "BRFS3_B_0", "VAR")</f>
        <v>0</v>
      </c>
      <c r="M31">
        <f>RTD("rtdtrading.rtdserver",, "BRFS3_B_0", "VARPTS")</f>
        <v>0</v>
      </c>
      <c r="N31">
        <f>RTD("rtdtrading.rtdserver",, "BRFS3_B_0", "MED")</f>
        <v>18.118185171790234</v>
      </c>
      <c r="O31" t="s">
        <v>238</v>
      </c>
      <c r="P31">
        <f>RTD("rtdtrading.rtdserver",, "BRFS3_B_0", "NEG")</f>
        <v>24938</v>
      </c>
      <c r="Q31">
        <f>RTD("rtdtrading.rtdserver",, "BRFS3_B_0", "QUL")</f>
        <v>0</v>
      </c>
      <c r="R31">
        <f>RTD("rtdtrading.rtdserver",, "BRFS3_B_0", "QTT")</f>
        <v>20737500</v>
      </c>
      <c r="S31">
        <f>RTD("rtdtrading.rtdserver",, "BRFS3_B_0", "VOL")</f>
        <v>375725865</v>
      </c>
      <c r="T31">
        <f>RTD("rtdtrading.rtdserver",, "BRFS3_B_0", "OCP")</f>
        <v>0</v>
      </c>
      <c r="U31">
        <f>RTD("rtdtrading.rtdserver",, "BRFS3_B_0", "OVD")</f>
        <v>0</v>
      </c>
      <c r="V31">
        <f>RTD("rtdtrading.rtdserver",, "BRFS3_B_0", "VOC")</f>
        <v>0</v>
      </c>
      <c r="W31">
        <f>RTD("rtdtrading.rtdserver",, "BRFS3_B_0", "VOV")</f>
        <v>0</v>
      </c>
      <c r="X31">
        <f>RTD("rtdtrading.rtdserver",, "BRFS3_B_0", "AJU")</f>
        <v>0</v>
      </c>
      <c r="Y31">
        <f>RTD("rtdtrading.rtdserver",, "BRFS3_B_0", "AJA")</f>
        <v>0</v>
      </c>
      <c r="Z31">
        <f>RTD("rtdtrading.rtdserver",, "BRFS3_B_0", "PRT")</f>
        <v>0</v>
      </c>
      <c r="AA31">
        <f>RTD("rtdtrading.rtdserver",, "BRFS3_B_0", "QTE")</f>
        <v>0</v>
      </c>
      <c r="AB31">
        <f>RTD("rtdtrading.rtdserver",, "BRFS3_B_0", "VPJ")</f>
        <v>375725865</v>
      </c>
      <c r="AC31">
        <f>RTD("rtdtrading.rtdserver",, "BRFS3_B_0", "SEM")</f>
        <v>0</v>
      </c>
      <c r="AD31">
        <f>RTD("rtdtrading.rtdserver",, "BRFS3_B_0", "MES")</f>
        <v>0</v>
      </c>
      <c r="AE31">
        <f>RTD("rtdtrading.rtdserver",, "BRFS3_B_0", "3M")</f>
        <v>-5.494482351950138</v>
      </c>
      <c r="AF31">
        <f>RTD("rtdtrading.rtdserver",, "BRFS3_B_0", "6M")</f>
        <v>-3.3782619929377375</v>
      </c>
      <c r="AG31">
        <f>RTD("rtdtrading.rtdserver",, "BRFS3_B_0", "12M")</f>
        <v>-10.785288270377741</v>
      </c>
      <c r="AH31">
        <f>RTD("rtdtrading.rtdserver",, "BRFS3_B_0", "ANO")</f>
        <v>-21.742504501440905</v>
      </c>
      <c r="AI31">
        <f>RTD("rtdtrading.rtdserver",, "BRFS3_B_0", "TRIM")</f>
        <v>0</v>
      </c>
      <c r="AJ31">
        <f>RTD("rtdtrading.rtdserver",, "BRFS3_B_0", "SEMES")</f>
        <v>-1.4591728060255504</v>
      </c>
      <c r="AK31" t="str">
        <f>RTD("rtdtrading.rtdserver",, "BRFS3_B_0", "VEN")</f>
        <v>-</v>
      </c>
      <c r="AL31" t="str">
        <f>RTD("rtdtrading.rtdserver",, "BRFS3_B_0", "VAL")</f>
        <v>31/12/9999</v>
      </c>
      <c r="AM31">
        <f>RTD("rtdtrading.rtdserver",, "BRFS3_B_0", "CAB")</f>
        <v>0</v>
      </c>
      <c r="AN31" t="str">
        <f>RTD("rtdtrading.rtdserver",, "BRFS3_B_0", "EST")</f>
        <v>Fechado</v>
      </c>
      <c r="AO31" t="str">
        <f>RTD("rtdtrading.rtdserver",, "BRFS3_B_0", "BLACK")</f>
        <v>-</v>
      </c>
      <c r="AP31" t="str">
        <f>RTD("rtdtrading.rtdserver",, "BRFS3_B_0", "IMPVT")</f>
        <v>-</v>
      </c>
      <c r="AQ31" t="str">
        <f>RTD("rtdtrading.rtdserver",, "BRFS3_B_0", "DELTA")</f>
        <v>-</v>
      </c>
      <c r="AR31" t="str">
        <f>RTD("rtdtrading.rtdserver",, "BRFS3_B_0", "GAMA")</f>
        <v>-</v>
      </c>
      <c r="AS31" t="str">
        <f>RTD("rtdtrading.rtdserver",, "BRFS3_B_0", "THETA")</f>
        <v>-</v>
      </c>
      <c r="AT31" t="str">
        <f>RTD("rtdtrading.rtdserver",, "BRFS3_B_0", "RHO")</f>
        <v>-</v>
      </c>
      <c r="AU31" t="str">
        <f>RTD("rtdtrading.rtdserver",, "BRFS3_B_0", "VEGA")</f>
        <v>-</v>
      </c>
      <c r="AV31" t="str">
        <f>RTD("rtdtrading.rtdserver",, "BRFS3_B_0", "VIA")</f>
        <v>-</v>
      </c>
      <c r="AW31" t="str">
        <f>RTD("rtdtrading.rtdserver",, "BRFS3_B_0", "VIB")</f>
        <v>-</v>
      </c>
      <c r="AX31" t="str">
        <f>RTD("rtdtrading.rtdserver",, "BRFS3_B_0", "DOBRAR")</f>
        <v>-</v>
      </c>
      <c r="AY31" t="str">
        <f>RTD("rtdtrading.rtdserver",, "BRFS3_B_0", "VIVH")</f>
        <v>-</v>
      </c>
      <c r="AZ31" t="str">
        <f>RTD("rtdtrading.rtdserver",, "BRFS3_B_0", "VINT")</f>
        <v>-</v>
      </c>
      <c r="BA31" t="str">
        <f>RTD("rtdtrading.rtdserver",, "BRFS3_B_0", "VEXT")</f>
        <v>-</v>
      </c>
    </row>
    <row r="32" spans="3:53" x14ac:dyDescent="0.25">
      <c r="C32" t="s">
        <v>241</v>
      </c>
      <c r="D32" t="str">
        <f>RTD("rtdtrading.rtdserver",, "LREN3_B_0", "DAT")</f>
        <v>14/10/2025</v>
      </c>
      <c r="E32" t="str">
        <f>RTD("rtdtrading.rtdserver",, "LREN3_B_0", "HOR")</f>
        <v>17:07:51</v>
      </c>
      <c r="F32">
        <f>RTD("rtdtrading.rtdserver",, "LREN3_B_0", "ULT")</f>
        <v>14.32</v>
      </c>
      <c r="G32">
        <f>RTD("rtdtrading.rtdserver",, "LREN3_B_0", "ABE")</f>
        <v>14.07</v>
      </c>
      <c r="H32">
        <f>RTD("rtdtrading.rtdserver",, "LREN3_B_0", "MAX")</f>
        <v>14.46</v>
      </c>
      <c r="I32">
        <f>RTD("rtdtrading.rtdserver",, "LREN3_B_0", "MIN")</f>
        <v>13.93</v>
      </c>
      <c r="J32">
        <f>RTD("rtdtrading.rtdserver",, "LREN3_B_0", "FEC")</f>
        <v>14.14</v>
      </c>
      <c r="K32">
        <f>RTD("rtdtrading.rtdserver",, "LREN3_B_0", "PEX")</f>
        <v>0</v>
      </c>
      <c r="L32">
        <f>RTD("rtdtrading.rtdserver",, "LREN3_B_0", "VAR")</f>
        <v>1.272984441301271</v>
      </c>
      <c r="M32">
        <f>RTD("rtdtrading.rtdserver",, "LREN3_B_0", "VARPTS")</f>
        <v>0.17999999999999972</v>
      </c>
      <c r="N32">
        <f>RTD("rtdtrading.rtdserver",, "LREN3_B_0", "MED")</f>
        <v>14.289583561238821</v>
      </c>
      <c r="O32" t="s">
        <v>242</v>
      </c>
      <c r="P32">
        <f>RTD("rtdtrading.rtdserver",, "LREN3_B_0", "NEG")</f>
        <v>22917</v>
      </c>
      <c r="Q32">
        <f>RTD("rtdtrading.rtdserver",, "LREN3_B_0", "QUL")</f>
        <v>0</v>
      </c>
      <c r="R32">
        <f>RTD("rtdtrading.rtdserver",, "LREN3_B_0", "QTT")</f>
        <v>13529000</v>
      </c>
      <c r="S32">
        <f>RTD("rtdtrading.rtdserver",, "LREN3_B_0", "VOL")</f>
        <v>193323776</v>
      </c>
      <c r="T32">
        <f>RTD("rtdtrading.rtdserver",, "LREN3_B_0", "OCP")</f>
        <v>14.31</v>
      </c>
      <c r="U32">
        <f>RTD("rtdtrading.rtdserver",, "LREN3_B_0", "OVD")</f>
        <v>14.43</v>
      </c>
      <c r="V32">
        <f>RTD("rtdtrading.rtdserver",, "LREN3_B_0", "VOC")</f>
        <v>500</v>
      </c>
      <c r="W32">
        <f>RTD("rtdtrading.rtdserver",, "LREN3_B_0", "VOV")</f>
        <v>600</v>
      </c>
      <c r="X32">
        <f>RTD("rtdtrading.rtdserver",, "LREN3_B_0", "AJU")</f>
        <v>0</v>
      </c>
      <c r="Y32">
        <f>RTD("rtdtrading.rtdserver",, "LREN3_B_0", "AJA")</f>
        <v>0</v>
      </c>
      <c r="Z32">
        <f>RTD("rtdtrading.rtdserver",, "LREN3_B_0", "PRT")</f>
        <v>0</v>
      </c>
      <c r="AA32">
        <f>RTD("rtdtrading.rtdserver",, "LREN3_B_0", "QTE")</f>
        <v>0</v>
      </c>
      <c r="AB32">
        <f>RTD("rtdtrading.rtdserver",, "LREN3_B_0", "VPJ")</f>
        <v>193323776</v>
      </c>
      <c r="AC32">
        <f>RTD("rtdtrading.rtdserver",, "LREN3_B_0", "SEM")</f>
        <v>2.4320457796852635</v>
      </c>
      <c r="AD32">
        <f>RTD("rtdtrading.rtdserver",, "LREN3_B_0", "MES")</f>
        <v>-5.3536021150033077</v>
      </c>
      <c r="AE32">
        <f>RTD("rtdtrading.rtdserver",, "LREN3_B_0", "3M")</f>
        <v>-20.253051768689303</v>
      </c>
      <c r="AF32">
        <f>RTD("rtdtrading.rtdserver",, "LREN3_B_0", "6M")</f>
        <v>14.241039019058787</v>
      </c>
      <c r="AG32">
        <f>RTD("rtdtrading.rtdserver",, "LREN3_B_0", "12M")</f>
        <v>-11.916492898574797</v>
      </c>
      <c r="AH32">
        <f>RTD("rtdtrading.rtdserver",, "LREN3_B_0", "ANO")</f>
        <v>22.190555830503268</v>
      </c>
      <c r="AI32">
        <f>RTD("rtdtrading.rtdserver",, "LREN3_B_0", "TRIM")</f>
        <v>-5.3536021150033077</v>
      </c>
      <c r="AJ32">
        <f>RTD("rtdtrading.rtdserver",, "LREN3_B_0", "SEMES")</f>
        <v>-25.69723699571929</v>
      </c>
      <c r="AK32" t="str">
        <f>RTD("rtdtrading.rtdserver",, "LREN3_B_0", "VEN")</f>
        <v>-</v>
      </c>
      <c r="AL32" t="str">
        <f>RTD("rtdtrading.rtdserver",, "LREN3_B_0", "VAL")</f>
        <v>31/12/9999</v>
      </c>
      <c r="AM32">
        <f>RTD("rtdtrading.rtdserver",, "LREN3_B_0", "CAB")</f>
        <v>0</v>
      </c>
      <c r="AN32" t="str">
        <f>RTD("rtdtrading.rtdserver",, "LREN3_B_0", "EST")</f>
        <v>Pré-Fechamento</v>
      </c>
      <c r="AO32" t="str">
        <f>RTD("rtdtrading.rtdserver",, "LREN3_B_0", "BLACK")</f>
        <v>-</v>
      </c>
      <c r="AP32" t="str">
        <f>RTD("rtdtrading.rtdserver",, "LREN3_B_0", "IMPVT")</f>
        <v>-</v>
      </c>
      <c r="AQ32" t="str">
        <f>RTD("rtdtrading.rtdserver",, "LREN3_B_0", "DELTA")</f>
        <v>-</v>
      </c>
      <c r="AR32" t="str">
        <f>RTD("rtdtrading.rtdserver",, "LREN3_B_0", "GAMA")</f>
        <v>-</v>
      </c>
      <c r="AS32" t="str">
        <f>RTD("rtdtrading.rtdserver",, "LREN3_B_0", "THETA")</f>
        <v>-</v>
      </c>
      <c r="AT32" t="str">
        <f>RTD("rtdtrading.rtdserver",, "LREN3_B_0", "RHO")</f>
        <v>-</v>
      </c>
      <c r="AU32" t="str">
        <f>RTD("rtdtrading.rtdserver",, "LREN3_B_0", "VEGA")</f>
        <v>-</v>
      </c>
      <c r="AV32" t="str">
        <f>RTD("rtdtrading.rtdserver",, "LREN3_B_0", "VIA")</f>
        <v>-</v>
      </c>
      <c r="AW32" t="str">
        <f>RTD("rtdtrading.rtdserver",, "LREN3_B_0", "VIB")</f>
        <v>-</v>
      </c>
      <c r="AX32" t="str">
        <f>RTD("rtdtrading.rtdserver",, "LREN3_B_0", "DOBRAR")</f>
        <v>-</v>
      </c>
      <c r="AY32" t="str">
        <f>RTD("rtdtrading.rtdserver",, "LREN3_B_0", "VIVH")</f>
        <v>-</v>
      </c>
      <c r="AZ32" t="str">
        <f>RTD("rtdtrading.rtdserver",, "LREN3_B_0", "VINT")</f>
        <v>-</v>
      </c>
      <c r="BA32" t="str">
        <f>RTD("rtdtrading.rtdserver",, "LREN3_B_0", "VEXT")</f>
        <v>-</v>
      </c>
    </row>
    <row r="33" spans="3:53" x14ac:dyDescent="0.25">
      <c r="C33" t="s">
        <v>245</v>
      </c>
      <c r="D33" t="str">
        <f>RTD("rtdtrading.rtdserver",, "MGLU3_B_0", "DAT")</f>
        <v>14/10/2025</v>
      </c>
      <c r="E33" t="str">
        <f>RTD("rtdtrading.rtdserver",, "MGLU3_B_0", "HOR")</f>
        <v>17:07:37</v>
      </c>
      <c r="F33">
        <f>RTD("rtdtrading.rtdserver",, "MGLU3_B_0", "ULT")</f>
        <v>8.7800000000000011</v>
      </c>
      <c r="G33">
        <f>RTD("rtdtrading.rtdserver",, "MGLU3_B_0", "ABE")</f>
        <v>8.5299999999999994</v>
      </c>
      <c r="H33">
        <f>RTD("rtdtrading.rtdserver",, "MGLU3_B_0", "MAX")</f>
        <v>8.8000000000000007</v>
      </c>
      <c r="I33">
        <f>RTD("rtdtrading.rtdserver",, "MGLU3_B_0", "MIN")</f>
        <v>8.4600000000000009</v>
      </c>
      <c r="J33">
        <f>RTD("rtdtrading.rtdserver",, "MGLU3_B_0", "FEC")</f>
        <v>8.6</v>
      </c>
      <c r="K33">
        <f>RTD("rtdtrading.rtdserver",, "MGLU3_B_0", "PEX")</f>
        <v>0</v>
      </c>
      <c r="L33">
        <f>RTD("rtdtrading.rtdserver",, "MGLU3_B_0", "VAR")</f>
        <v>2.093023255813971</v>
      </c>
      <c r="M33">
        <f>RTD("rtdtrading.rtdserver",, "MGLU3_B_0", "VARPTS")</f>
        <v>0.18000000000000149</v>
      </c>
      <c r="N33">
        <f>RTD("rtdtrading.rtdserver",, "MGLU3_B_0", "MED")</f>
        <v>8.6572823143179392</v>
      </c>
      <c r="O33" t="s">
        <v>246</v>
      </c>
      <c r="P33">
        <f>RTD("rtdtrading.rtdserver",, "MGLU3_B_0", "NEG")</f>
        <v>12013</v>
      </c>
      <c r="Q33">
        <f>RTD("rtdtrading.rtdserver",, "MGLU3_B_0", "QUL")</f>
        <v>0</v>
      </c>
      <c r="R33">
        <f>RTD("rtdtrading.rtdserver",, "MGLU3_B_0", "QTT")</f>
        <v>13920300</v>
      </c>
      <c r="S33">
        <f>RTD("rtdtrading.rtdserver",, "MGLU3_B_0", "VOL")</f>
        <v>120511967</v>
      </c>
      <c r="T33">
        <f>RTD("rtdtrading.rtdserver",, "MGLU3_B_0", "OCP")</f>
        <v>8.66</v>
      </c>
      <c r="U33">
        <f>RTD("rtdtrading.rtdserver",, "MGLU3_B_0", "OVD")</f>
        <v>8.8000000000000007</v>
      </c>
      <c r="V33">
        <f>RTD("rtdtrading.rtdserver",, "MGLU3_B_0", "VOC")</f>
        <v>200</v>
      </c>
      <c r="W33">
        <f>RTD("rtdtrading.rtdserver",, "MGLU3_B_0", "VOV")</f>
        <v>300</v>
      </c>
      <c r="X33">
        <f>RTD("rtdtrading.rtdserver",, "MGLU3_B_0", "AJU")</f>
        <v>0</v>
      </c>
      <c r="Y33">
        <f>RTD("rtdtrading.rtdserver",, "MGLU3_B_0", "AJA")</f>
        <v>0</v>
      </c>
      <c r="Z33">
        <f>RTD("rtdtrading.rtdserver",, "MGLU3_B_0", "PRT")</f>
        <v>0</v>
      </c>
      <c r="AA33">
        <f>RTD("rtdtrading.rtdserver",, "MGLU3_B_0", "QTE")</f>
        <v>0</v>
      </c>
      <c r="AB33">
        <f>RTD("rtdtrading.rtdserver",, "MGLU3_B_0", "VPJ")</f>
        <v>120511967</v>
      </c>
      <c r="AC33">
        <f>RTD("rtdtrading.rtdserver",, "MGLU3_B_0", "SEM")</f>
        <v>-0.34052213393869873</v>
      </c>
      <c r="AD33">
        <f>RTD("rtdtrading.rtdserver",, "MGLU3_B_0", "MES")</f>
        <v>-8.5416666666666519</v>
      </c>
      <c r="AE33">
        <f>RTD("rtdtrading.rtdserver",, "MGLU3_B_0", "3M")</f>
        <v>10.440251572327055</v>
      </c>
      <c r="AF33">
        <f>RTD("rtdtrading.rtdserver",, "MGLU3_B_0", "6M")</f>
        <v>-13.616686343959058</v>
      </c>
      <c r="AG33">
        <f>RTD("rtdtrading.rtdserver",, "MGLU3_B_0", "12M")</f>
        <v>-4.2937027872551328</v>
      </c>
      <c r="AH33">
        <f>RTD("rtdtrading.rtdserver",, "MGLU3_B_0", "ANO")</f>
        <v>39.142010427726994</v>
      </c>
      <c r="AI33">
        <f>RTD("rtdtrading.rtdserver",, "MGLU3_B_0", "TRIM")</f>
        <v>-8.5416666666666519</v>
      </c>
      <c r="AJ33">
        <f>RTD("rtdtrading.rtdserver",, "MGLU3_B_0", "SEMES")</f>
        <v>-10.862944162436532</v>
      </c>
      <c r="AK33" t="str">
        <f>RTD("rtdtrading.rtdserver",, "MGLU3_B_0", "VEN")</f>
        <v>-</v>
      </c>
      <c r="AL33" t="str">
        <f>RTD("rtdtrading.rtdserver",, "MGLU3_B_0", "VAL")</f>
        <v>31/12/9999</v>
      </c>
      <c r="AM33">
        <f>RTD("rtdtrading.rtdserver",, "MGLU3_B_0", "CAB")</f>
        <v>0</v>
      </c>
      <c r="AN33" t="str">
        <f>RTD("rtdtrading.rtdserver",, "MGLU3_B_0", "EST")</f>
        <v>Pré-Fechamento</v>
      </c>
      <c r="AO33" t="str">
        <f>RTD("rtdtrading.rtdserver",, "MGLU3_B_0", "BLACK")</f>
        <v>-</v>
      </c>
      <c r="AP33" t="str">
        <f>RTD("rtdtrading.rtdserver",, "MGLU3_B_0", "IMPVT")</f>
        <v>-</v>
      </c>
      <c r="AQ33" t="str">
        <f>RTD("rtdtrading.rtdserver",, "MGLU3_B_0", "DELTA")</f>
        <v>-</v>
      </c>
      <c r="AR33" t="str">
        <f>RTD("rtdtrading.rtdserver",, "MGLU3_B_0", "GAMA")</f>
        <v>-</v>
      </c>
      <c r="AS33" t="str">
        <f>RTD("rtdtrading.rtdserver",, "MGLU3_B_0", "THETA")</f>
        <v>-</v>
      </c>
      <c r="AT33" t="str">
        <f>RTD("rtdtrading.rtdserver",, "MGLU3_B_0", "RHO")</f>
        <v>-</v>
      </c>
      <c r="AU33" t="str">
        <f>RTD("rtdtrading.rtdserver",, "MGLU3_B_0", "VEGA")</f>
        <v>-</v>
      </c>
      <c r="AV33" t="str">
        <f>RTD("rtdtrading.rtdserver",, "MGLU3_B_0", "VIA")</f>
        <v>-</v>
      </c>
      <c r="AW33" t="str">
        <f>RTD("rtdtrading.rtdserver",, "MGLU3_B_0", "VIB")</f>
        <v>-</v>
      </c>
      <c r="AX33" t="str">
        <f>RTD("rtdtrading.rtdserver",, "MGLU3_B_0", "DOBRAR")</f>
        <v>-</v>
      </c>
      <c r="AY33" t="str">
        <f>RTD("rtdtrading.rtdserver",, "MGLU3_B_0", "VIVH")</f>
        <v>-</v>
      </c>
      <c r="AZ33" t="str">
        <f>RTD("rtdtrading.rtdserver",, "MGLU3_B_0", "VINT")</f>
        <v>-</v>
      </c>
      <c r="BA33" t="str">
        <f>RTD("rtdtrading.rtdserver",, "MGLU3_B_0", "VEXT")</f>
        <v>-</v>
      </c>
    </row>
    <row r="34" spans="3:53" x14ac:dyDescent="0.25">
      <c r="C34" t="s">
        <v>8</v>
      </c>
      <c r="D34" t="str">
        <f>RTD("rtdtrading.rtdserver",, "WINFUT_F_0", "DAT")</f>
        <v>15/10/2025</v>
      </c>
      <c r="E34" t="str">
        <f>RTD("rtdtrading.rtdserver",, "WINFUT_F_0", "HOR")</f>
        <v>09:23:34</v>
      </c>
      <c r="F34">
        <f>RTD("rtdtrading.rtdserver",, "WINFUT_F_0", "ULT")</f>
        <v>144710</v>
      </c>
      <c r="G34">
        <f>RTD("rtdtrading.rtdserver",, "WINFUT_F_0", "ABE")</f>
        <v>145145</v>
      </c>
      <c r="H34">
        <f>RTD("rtdtrading.rtdserver",, "WINFUT_F_0", "MAX")</f>
        <v>145405</v>
      </c>
      <c r="I34">
        <f>RTD("rtdtrading.rtdserver",, "WINFUT_F_0", "MIN")</f>
        <v>144665</v>
      </c>
      <c r="J34">
        <f>RTD("rtdtrading.rtdserver",, "WINFUT_F_0", "FEC")</f>
        <v>144915</v>
      </c>
      <c r="K34">
        <f>RTD("rtdtrading.rtdserver",, "WINFUT_F_0", "PEX")</f>
        <v>0</v>
      </c>
      <c r="L34">
        <f>RTD("rtdtrading.rtdserver",, "WINFUT_F_0", "VAR")</f>
        <v>-0.14146223648345582</v>
      </c>
      <c r="M34">
        <f>RTD("rtdtrading.rtdserver",, "WINFUT_F_0", "VARPTS")</f>
        <v>-205</v>
      </c>
      <c r="N34">
        <f>RTD("rtdtrading.rtdserver",, "WINFUT_F_0", "MED")</f>
        <v>144973.67228390812</v>
      </c>
      <c r="O34" t="s">
        <v>249</v>
      </c>
      <c r="P34">
        <f>RTD("rtdtrading.rtdserver",, "WINFUT_F_0", "NEG")</f>
        <v>463297</v>
      </c>
      <c r="Q34">
        <f>RTD("rtdtrading.rtdserver",, "WINFUT_F_0", "QUL")</f>
        <v>4</v>
      </c>
      <c r="R34">
        <f>RTD("rtdtrading.rtdserver",, "WINFUT_F_0", "QTT")</f>
        <v>1287346</v>
      </c>
      <c r="S34">
        <f>RTD("rtdtrading.rtdserver",, "WINFUT_F_0", "VOL")</f>
        <v>37326255424</v>
      </c>
      <c r="T34">
        <f>RTD("rtdtrading.rtdserver",, "WINFUT_F_0", "OCP")</f>
        <v>144710</v>
      </c>
      <c r="U34">
        <f>RTD("rtdtrading.rtdserver",, "WINFUT_F_0", "OVD")</f>
        <v>144715</v>
      </c>
      <c r="V34">
        <f>RTD("rtdtrading.rtdserver",, "WINFUT_F_0", "VOC")</f>
        <v>92</v>
      </c>
      <c r="W34">
        <f>RTD("rtdtrading.rtdserver",, "WINFUT_F_0", "VOV")</f>
        <v>19</v>
      </c>
      <c r="X34">
        <f>RTD("rtdtrading.rtdserver",, "WINFUT_F_0", "AJU")</f>
        <v>0</v>
      </c>
      <c r="Y34">
        <f>RTD("rtdtrading.rtdserver",, "WINFUT_F_0", "AJA")</f>
        <v>141688</v>
      </c>
      <c r="Z34">
        <f>RTD("rtdtrading.rtdserver",, "WINFUT_F_0", "PRT")</f>
        <v>0</v>
      </c>
      <c r="AA34">
        <f>RTD("rtdtrading.rtdserver",, "WINFUT_F_0", "QTE")</f>
        <v>0</v>
      </c>
      <c r="AB34">
        <f>RTD("rtdtrading.rtdserver",, "WINFUT_F_0", "VPJ")</f>
        <v>955570485807.72754</v>
      </c>
      <c r="AC34">
        <f>RTD("rtdtrading.rtdserver",, "WINFUT_F_0", "SEM")</f>
        <v>0.88309482090688018</v>
      </c>
      <c r="AD34">
        <f>RTD("rtdtrading.rtdserver",, "WINFUT_F_0", "MES")</f>
        <v>-3.7690403769705476</v>
      </c>
      <c r="AE34">
        <f>RTD("rtdtrading.rtdserver",, "WINFUT_F_0", "3M")</f>
        <v>1.0276461514896746</v>
      </c>
      <c r="AF34">
        <f>RTD("rtdtrading.rtdserver",, "WINFUT_F_0", "6M")</f>
        <v>3.1069087756441109</v>
      </c>
      <c r="AG34">
        <f>RTD("rtdtrading.rtdserver",, "WINFUT_F_0", "12M")</f>
        <v>-2.7046899418796566</v>
      </c>
      <c r="AH34">
        <f>RTD("rtdtrading.rtdserver",, "WINFUT_F_0", "ANO")</f>
        <v>7.6779649779855808</v>
      </c>
      <c r="AI34">
        <f>RTD("rtdtrading.rtdserver",, "WINFUT_F_0", "TRIM")</f>
        <v>-3.7690403769705476</v>
      </c>
      <c r="AJ34">
        <f>RTD("rtdtrading.rtdserver",, "WINFUT_F_0", "SEMES")</f>
        <v>-1.7930988053993453</v>
      </c>
      <c r="AK34" t="str">
        <f>RTD("rtdtrading.rtdserver",, "WINFUT_F_0", "VEN")</f>
        <v>17/12/2025</v>
      </c>
      <c r="AL34" t="str">
        <f>RTD("rtdtrading.rtdserver",, "WINFUT_F_0", "VAL")</f>
        <v>17/12/2025</v>
      </c>
      <c r="AM34">
        <f>RTD("rtdtrading.rtdserver",, "WINFUT_F_0", "CAB")</f>
        <v>943649</v>
      </c>
      <c r="AN34" t="str">
        <f>RTD("rtdtrading.rtdserver",, "WINFUT_F_0", "EST")</f>
        <v>Aberto</v>
      </c>
      <c r="AO34" t="str">
        <f>RTD("rtdtrading.rtdserver",, "WINFUT_F_0", "BLACK")</f>
        <v>-</v>
      </c>
      <c r="AP34" t="str">
        <f>RTD("rtdtrading.rtdserver",, "WINFUT_F_0", "IMPVT")</f>
        <v>-</v>
      </c>
      <c r="AQ34" t="str">
        <f>RTD("rtdtrading.rtdserver",, "WINFUT_F_0", "DELTA")</f>
        <v>-</v>
      </c>
      <c r="AR34" t="str">
        <f>RTD("rtdtrading.rtdserver",, "WINFUT_F_0", "GAMA")</f>
        <v>-</v>
      </c>
      <c r="AS34" t="str">
        <f>RTD("rtdtrading.rtdserver",, "WINFUT_F_0", "THETA")</f>
        <v>-</v>
      </c>
      <c r="AT34" t="str">
        <f>RTD("rtdtrading.rtdserver",, "WINFUT_F_0", "RHO")</f>
        <v>-</v>
      </c>
      <c r="AU34" t="str">
        <f>RTD("rtdtrading.rtdserver",, "WINFUT_F_0", "VEGA")</f>
        <v>-</v>
      </c>
      <c r="AV34" t="str">
        <f>RTD("rtdtrading.rtdserver",, "WINFUT_F_0", "VIA")</f>
        <v>-</v>
      </c>
      <c r="AW34" t="str">
        <f>RTD("rtdtrading.rtdserver",, "WINFUT_F_0", "VIB")</f>
        <v>-</v>
      </c>
      <c r="AX34" t="str">
        <f>RTD("rtdtrading.rtdserver",, "WINFUT_F_0", "DOBRAR")</f>
        <v>-</v>
      </c>
      <c r="AY34" t="str">
        <f>RTD("rtdtrading.rtdserver",, "WINFUT_F_0", "VIVH")</f>
        <v>-</v>
      </c>
      <c r="AZ34" t="str">
        <f>RTD("rtdtrading.rtdserver",, "WINFUT_F_0", "VINT")</f>
        <v>-</v>
      </c>
      <c r="BA34" t="str">
        <f>RTD("rtdtrading.rtdserver",, "WINFUT_F_0", "VEXT")</f>
        <v>-</v>
      </c>
    </row>
    <row r="35" spans="3:53" x14ac:dyDescent="0.25">
      <c r="C35" t="s">
        <v>252</v>
      </c>
      <c r="D35" t="str">
        <f>RTD("rtdtrading.rtdserver",, "WDOFUT_F_0", "DAT")</f>
        <v>15/10/2025</v>
      </c>
      <c r="E35" t="str">
        <f>RTD("rtdtrading.rtdserver",, "WDOFUT_F_0", "HOR")</f>
        <v>09:23:34</v>
      </c>
      <c r="F35">
        <f>RTD("rtdtrading.rtdserver",, "WDOFUT_F_0", "ULT")</f>
        <v>5489.5</v>
      </c>
      <c r="G35">
        <f>RTD("rtdtrading.rtdserver",, "WDOFUT_F_0", "ABE")</f>
        <v>5482.5</v>
      </c>
      <c r="H35">
        <f>RTD("rtdtrading.rtdserver",, "WDOFUT_F_0", "MAX")</f>
        <v>5493.5</v>
      </c>
      <c r="I35">
        <f>RTD("rtdtrading.rtdserver",, "WDOFUT_F_0", "MIN")</f>
        <v>5478.5</v>
      </c>
      <c r="J35">
        <f>RTD("rtdtrading.rtdserver",, "WDOFUT_F_0", "FEC")</f>
        <v>5500.5</v>
      </c>
      <c r="K35">
        <f>RTD("rtdtrading.rtdserver",, "WDOFUT_F_0", "PEX")</f>
        <v>0</v>
      </c>
      <c r="L35">
        <f>RTD("rtdtrading.rtdserver",, "WDOFUT_F_0", "VAR")</f>
        <v>-0.19998181983456051</v>
      </c>
      <c r="M35">
        <f>RTD("rtdtrading.rtdserver",, "WDOFUT_F_0", "VARPTS")</f>
        <v>-11</v>
      </c>
      <c r="N35">
        <f>RTD("rtdtrading.rtdserver",, "WDOFUT_F_0", "MED")</f>
        <v>5486.0743684321224</v>
      </c>
      <c r="O35" t="s">
        <v>253</v>
      </c>
      <c r="P35">
        <f>RTD("rtdtrading.rtdserver",, "WDOFUT_F_0", "NEG")</f>
        <v>72872</v>
      </c>
      <c r="Q35">
        <f>RTD("rtdtrading.rtdserver",, "WDOFUT_F_0", "QUL")</f>
        <v>3</v>
      </c>
      <c r="R35">
        <f>RTD("rtdtrading.rtdserver",, "WDOFUT_F_0", "QTT")</f>
        <v>256742</v>
      </c>
      <c r="S35">
        <f>RTD("rtdtrading.rtdserver",, "WDOFUT_F_0", "VOL")</f>
        <v>14085057055</v>
      </c>
      <c r="T35">
        <f>RTD("rtdtrading.rtdserver",, "WDOFUT_F_0", "OCP")</f>
        <v>5489</v>
      </c>
      <c r="U35">
        <f>RTD("rtdtrading.rtdserver",, "WDOFUT_F_0", "OVD")</f>
        <v>5489.5</v>
      </c>
      <c r="V35">
        <f>RTD("rtdtrading.rtdserver",, "WDOFUT_F_0", "VOC")</f>
        <v>458</v>
      </c>
      <c r="W35">
        <f>RTD("rtdtrading.rtdserver",, "WDOFUT_F_0", "VOV")</f>
        <v>105</v>
      </c>
      <c r="X35">
        <f>RTD("rtdtrading.rtdserver",, "WDOFUT_F_0", "AJU")</f>
        <v>0</v>
      </c>
      <c r="Y35">
        <f>RTD("rtdtrading.rtdserver",, "WDOFUT_F_0", "AJA")</f>
        <v>5489.0649999999996</v>
      </c>
      <c r="Z35">
        <f>RTD("rtdtrading.rtdserver",, "WDOFUT_F_0", "PRT")</f>
        <v>0</v>
      </c>
      <c r="AA35">
        <f>RTD("rtdtrading.rtdserver",, "WDOFUT_F_0", "QTE")</f>
        <v>0</v>
      </c>
      <c r="AB35">
        <f>RTD("rtdtrading.rtdserver",, "WDOFUT_F_0", "VPJ")</f>
        <v>360584383828.16949</v>
      </c>
      <c r="AC35">
        <f>RTD("rtdtrading.rtdserver",, "WDOFUT_F_0", "SEM")</f>
        <v>-1.2591060347153682</v>
      </c>
      <c r="AD35">
        <f>RTD("rtdtrading.rtdserver",, "WDOFUT_F_0", "MES")</f>
        <v>2.3969408692408134</v>
      </c>
      <c r="AE35">
        <f>RTD("rtdtrading.rtdserver",, "WDOFUT_F_0", "3M")</f>
        <v>-3.7179534582847582</v>
      </c>
      <c r="AF35">
        <f>RTD("rtdtrading.rtdserver",, "WDOFUT_F_0", "6M")</f>
        <v>-10.507119675828378</v>
      </c>
      <c r="AG35">
        <f>RTD("rtdtrading.rtdserver",, "WDOFUT_F_0", "12M")</f>
        <v>-9.1193689532407944</v>
      </c>
      <c r="AH35">
        <f>RTD("rtdtrading.rtdserver",, "WDOFUT_F_0", "ANO")</f>
        <v>-16.741660471532864</v>
      </c>
      <c r="AI35">
        <f>RTD("rtdtrading.rtdserver",, "WDOFUT_F_0", "TRIM")</f>
        <v>2.3969408692408134</v>
      </c>
      <c r="AJ35">
        <f>RTD("rtdtrading.rtdserver",, "WDOFUT_F_0", "SEMES")</f>
        <v>-1.9501000723409854</v>
      </c>
      <c r="AK35" t="str">
        <f>RTD("rtdtrading.rtdserver",, "WDOFUT_F_0", "VEN")</f>
        <v>03/11/2025</v>
      </c>
      <c r="AL35" t="str">
        <f>RTD("rtdtrading.rtdserver",, "WDOFUT_F_0", "VAL")</f>
        <v>31/10/2025</v>
      </c>
      <c r="AM35">
        <f>RTD("rtdtrading.rtdserver",, "WDOFUT_F_0", "CAB")</f>
        <v>1117125</v>
      </c>
      <c r="AN35" t="str">
        <f>RTD("rtdtrading.rtdserver",, "WDOFUT_F_0", "EST")</f>
        <v>Aberto</v>
      </c>
      <c r="AO35" t="str">
        <f>RTD("rtdtrading.rtdserver",, "WDOFUT_F_0", "BLACK")</f>
        <v>-</v>
      </c>
      <c r="AP35" t="str">
        <f>RTD("rtdtrading.rtdserver",, "WDOFUT_F_0", "IMPVT")</f>
        <v>-</v>
      </c>
      <c r="AQ35" t="str">
        <f>RTD("rtdtrading.rtdserver",, "WDOFUT_F_0", "DELTA")</f>
        <v>-</v>
      </c>
      <c r="AR35" t="str">
        <f>RTD("rtdtrading.rtdserver",, "WDOFUT_F_0", "GAMA")</f>
        <v>-</v>
      </c>
      <c r="AS35" t="str">
        <f>RTD("rtdtrading.rtdserver",, "WDOFUT_F_0", "THETA")</f>
        <v>-</v>
      </c>
      <c r="AT35" t="str">
        <f>RTD("rtdtrading.rtdserver",, "WDOFUT_F_0", "RHO")</f>
        <v>-</v>
      </c>
      <c r="AU35" t="str">
        <f>RTD("rtdtrading.rtdserver",, "WDOFUT_F_0", "VEGA")</f>
        <v>-</v>
      </c>
      <c r="AV35" t="str">
        <f>RTD("rtdtrading.rtdserver",, "WDOFUT_F_0", "VIA")</f>
        <v>-</v>
      </c>
      <c r="AW35" t="str">
        <f>RTD("rtdtrading.rtdserver",, "WDOFUT_F_0", "VIB")</f>
        <v>-</v>
      </c>
      <c r="AX35" t="str">
        <f>RTD("rtdtrading.rtdserver",, "WDOFUT_F_0", "DOBRAR")</f>
        <v>-</v>
      </c>
      <c r="AY35" t="str">
        <f>RTD("rtdtrading.rtdserver",, "WDOFUT_F_0", "VIVH")</f>
        <v>-</v>
      </c>
      <c r="AZ35" t="str">
        <f>RTD("rtdtrading.rtdserver",, "WDOFUT_F_0", "VINT")</f>
        <v>-</v>
      </c>
      <c r="BA35" t="str">
        <f>RTD("rtdtrading.rtdserver",, "WDOFUT_F_0", "VEXT")</f>
        <v>-</v>
      </c>
    </row>
    <row r="36" spans="3:53" x14ac:dyDescent="0.25">
      <c r="C36" t="s">
        <v>256</v>
      </c>
      <c r="D36" t="str">
        <f>RTD("rtdtrading.rtdserver",, "WINJ24_F_0", "DAT")</f>
        <v>30/12/1899</v>
      </c>
      <c r="E36" t="str">
        <f>RTD("rtdtrading.rtdserver",, "WINJ24_F_0", "HOR")</f>
        <v>00:00:00</v>
      </c>
      <c r="F36">
        <f>RTD("rtdtrading.rtdserver",, "WINJ24_F_0", "ULT")</f>
        <v>0</v>
      </c>
      <c r="G36">
        <f>RTD("rtdtrading.rtdserver",, "WINJ24_F_0", "ABE")</f>
        <v>0</v>
      </c>
      <c r="H36">
        <f>RTD("rtdtrading.rtdserver",, "WINJ24_F_0", "MAX")</f>
        <v>0</v>
      </c>
      <c r="I36">
        <f>RTD("rtdtrading.rtdserver",, "WINJ24_F_0", "MIN")</f>
        <v>0</v>
      </c>
      <c r="J36">
        <f>RTD("rtdtrading.rtdserver",, "WINJ24_F_0", "FEC")</f>
        <v>0</v>
      </c>
      <c r="K36">
        <f>RTD("rtdtrading.rtdserver",, "WINJ24_F_0", "PEX")</f>
        <v>0</v>
      </c>
      <c r="L36">
        <f>RTD("rtdtrading.rtdserver",, "WINJ24_F_0", "VAR")</f>
        <v>0</v>
      </c>
      <c r="M36">
        <f>RTD("rtdtrading.rtdserver",, "WINJ24_F_0", "VARPTS")</f>
        <v>0</v>
      </c>
      <c r="N36">
        <f>RTD("rtdtrading.rtdserver",, "WINJ24_F_0", "MED")</f>
        <v>0</v>
      </c>
      <c r="O36" t="s">
        <v>249</v>
      </c>
      <c r="P36">
        <f>RTD("rtdtrading.rtdserver",, "WINJ24_F_0", "NEG")</f>
        <v>0</v>
      </c>
      <c r="Q36">
        <f>RTD("rtdtrading.rtdserver",, "WINJ24_F_0", "QUL")</f>
        <v>0</v>
      </c>
      <c r="R36">
        <f>RTD("rtdtrading.rtdserver",, "WINJ24_F_0", "QTT")</f>
        <v>0</v>
      </c>
      <c r="S36">
        <f>RTD("rtdtrading.rtdserver",, "WINJ24_F_0", "VOL")</f>
        <v>0</v>
      </c>
      <c r="T36">
        <f>RTD("rtdtrading.rtdserver",, "WINJ24_F_0", "OCP")</f>
        <v>0</v>
      </c>
      <c r="U36">
        <f>RTD("rtdtrading.rtdserver",, "WINJ24_F_0", "OVD")</f>
        <v>0</v>
      </c>
      <c r="V36">
        <f>RTD("rtdtrading.rtdserver",, "WINJ24_F_0", "VOC")</f>
        <v>0</v>
      </c>
      <c r="W36">
        <f>RTD("rtdtrading.rtdserver",, "WINJ24_F_0", "VOV")</f>
        <v>0</v>
      </c>
      <c r="X36">
        <f>RTD("rtdtrading.rtdserver",, "WINJ24_F_0", "AJU")</f>
        <v>0</v>
      </c>
      <c r="Y36">
        <f>RTD("rtdtrading.rtdserver",, "WINJ24_F_0", "AJA")</f>
        <v>0</v>
      </c>
      <c r="Z36">
        <f>RTD("rtdtrading.rtdserver",, "WINJ24_F_0", "PRT")</f>
        <v>0</v>
      </c>
      <c r="AA36">
        <f>RTD("rtdtrading.rtdserver",, "WINJ24_F_0", "QTE")</f>
        <v>0</v>
      </c>
      <c r="AB36">
        <f>RTD("rtdtrading.rtdserver",, "WINJ24_F_0", "VPJ")</f>
        <v>0</v>
      </c>
      <c r="AC36">
        <f>RTD("rtdtrading.rtdserver",, "WINJ24_F_0", "SEM")</f>
        <v>0</v>
      </c>
      <c r="AD36">
        <f>RTD("rtdtrading.rtdserver",, "WINJ24_F_0", "MES")</f>
        <v>0</v>
      </c>
      <c r="AE36">
        <f>RTD("rtdtrading.rtdserver",, "WINJ24_F_0", "3M")</f>
        <v>0</v>
      </c>
      <c r="AF36">
        <f>RTD("rtdtrading.rtdserver",, "WINJ24_F_0", "6M")</f>
        <v>0</v>
      </c>
      <c r="AG36">
        <f>RTD("rtdtrading.rtdserver",, "WINJ24_F_0", "12M")</f>
        <v>0</v>
      </c>
      <c r="AH36">
        <f>RTD("rtdtrading.rtdserver",, "WINJ24_F_0", "ANO")</f>
        <v>0</v>
      </c>
      <c r="AI36">
        <f>RTD("rtdtrading.rtdserver",, "WINJ24_F_0", "TRIM")</f>
        <v>0</v>
      </c>
      <c r="AJ36">
        <f>RTD("rtdtrading.rtdserver",, "WINJ24_F_0", "SEMES")</f>
        <v>0</v>
      </c>
      <c r="AK36" t="str">
        <f>RTD("rtdtrading.rtdserver",, "WINJ24_F_0", "VEN")</f>
        <v>17/04/2024</v>
      </c>
      <c r="AL36" t="str">
        <f>RTD("rtdtrading.rtdserver",, "WINJ24_F_0", "VAL")</f>
        <v>17/04/2024</v>
      </c>
      <c r="AM36">
        <f>RTD("rtdtrading.rtdserver",, "WINJ24_F_0", "CAB")</f>
        <v>0</v>
      </c>
      <c r="AN36" t="str">
        <f>RTD("rtdtrading.rtdserver",, "WINJ24_F_0", "EST")</f>
        <v>NONE</v>
      </c>
      <c r="AO36" t="str">
        <f>RTD("rtdtrading.rtdserver",, "WINJ24_F_0", "BLACK")</f>
        <v>-</v>
      </c>
      <c r="AP36" t="str">
        <f>RTD("rtdtrading.rtdserver",, "WINJ24_F_0", "IMPVT")</f>
        <v>-</v>
      </c>
      <c r="AQ36" t="str">
        <f>RTD("rtdtrading.rtdserver",, "WINJ24_F_0", "DELTA")</f>
        <v>-</v>
      </c>
      <c r="AR36" t="str">
        <f>RTD("rtdtrading.rtdserver",, "WINJ24_F_0", "GAMA")</f>
        <v>-</v>
      </c>
      <c r="AS36" t="str">
        <f>RTD("rtdtrading.rtdserver",, "WINJ24_F_0", "THETA")</f>
        <v>-</v>
      </c>
      <c r="AT36" t="str">
        <f>RTD("rtdtrading.rtdserver",, "WINJ24_F_0", "RHO")</f>
        <v>-</v>
      </c>
      <c r="AU36" t="str">
        <f>RTD("rtdtrading.rtdserver",, "WINJ24_F_0", "VEGA")</f>
        <v>-</v>
      </c>
      <c r="AV36" t="str">
        <f>RTD("rtdtrading.rtdserver",, "WINJ24_F_0", "VIA")</f>
        <v>-</v>
      </c>
      <c r="AW36" t="str">
        <f>RTD("rtdtrading.rtdserver",, "WINJ24_F_0", "VIB")</f>
        <v>-</v>
      </c>
      <c r="AX36" t="str">
        <f>RTD("rtdtrading.rtdserver",, "WINJ24_F_0", "DOBRAR")</f>
        <v>-</v>
      </c>
      <c r="AY36" t="str">
        <f>RTD("rtdtrading.rtdserver",, "WINJ24_F_0", "VIVH")</f>
        <v>-</v>
      </c>
      <c r="AZ36" t="str">
        <f>RTD("rtdtrading.rtdserver",, "WINJ24_F_0", "VINT")</f>
        <v>-</v>
      </c>
      <c r="BA36" t="str">
        <f>RTD("rtdtrading.rtdserver",, "WINJ24_F_0", "VEXT")</f>
        <v>-</v>
      </c>
    </row>
    <row r="37" spans="3:53" x14ac:dyDescent="0.25">
      <c r="C37" t="s">
        <v>258</v>
      </c>
      <c r="D37" t="str">
        <f>RTD("rtdtrading.rtdserver",, "WDOK24_F_0", "DAT")</f>
        <v>30/12/1899</v>
      </c>
      <c r="E37" t="str">
        <f>RTD("rtdtrading.rtdserver",, "WDOK24_F_0", "HOR")</f>
        <v>00:00:00</v>
      </c>
      <c r="F37">
        <f>RTD("rtdtrading.rtdserver",, "WDOK24_F_0", "ULT")</f>
        <v>0</v>
      </c>
      <c r="G37">
        <f>RTD("rtdtrading.rtdserver",, "WDOK24_F_0", "ABE")</f>
        <v>0</v>
      </c>
      <c r="H37">
        <f>RTD("rtdtrading.rtdserver",, "WDOK24_F_0", "MAX")</f>
        <v>0</v>
      </c>
      <c r="I37">
        <f>RTD("rtdtrading.rtdserver",, "WDOK24_F_0", "MIN")</f>
        <v>0</v>
      </c>
      <c r="J37">
        <f>RTD("rtdtrading.rtdserver",, "WDOK24_F_0", "FEC")</f>
        <v>0</v>
      </c>
      <c r="K37">
        <f>RTD("rtdtrading.rtdserver",, "WDOK24_F_0", "PEX")</f>
        <v>0</v>
      </c>
      <c r="L37">
        <f>RTD("rtdtrading.rtdserver",, "WDOK24_F_0", "VAR")</f>
        <v>0</v>
      </c>
      <c r="M37">
        <f>RTD("rtdtrading.rtdserver",, "WDOK24_F_0", "VARPTS")</f>
        <v>0</v>
      </c>
      <c r="N37">
        <f>RTD("rtdtrading.rtdserver",, "WDOK24_F_0", "MED")</f>
        <v>0</v>
      </c>
      <c r="O37" t="s">
        <v>253</v>
      </c>
      <c r="P37">
        <f>RTD("rtdtrading.rtdserver",, "WDOK24_F_0", "NEG")</f>
        <v>0</v>
      </c>
      <c r="Q37">
        <f>RTD("rtdtrading.rtdserver",, "WDOK24_F_0", "QUL")</f>
        <v>0</v>
      </c>
      <c r="R37">
        <f>RTD("rtdtrading.rtdserver",, "WDOK24_F_0", "QTT")</f>
        <v>0</v>
      </c>
      <c r="S37">
        <f>RTD("rtdtrading.rtdserver",, "WDOK24_F_0", "VOL")</f>
        <v>0</v>
      </c>
      <c r="T37">
        <f>RTD("rtdtrading.rtdserver",, "WDOK24_F_0", "OCP")</f>
        <v>0</v>
      </c>
      <c r="U37">
        <f>RTD("rtdtrading.rtdserver",, "WDOK24_F_0", "OVD")</f>
        <v>0</v>
      </c>
      <c r="V37">
        <f>RTD("rtdtrading.rtdserver",, "WDOK24_F_0", "VOC")</f>
        <v>0</v>
      </c>
      <c r="W37">
        <f>RTD("rtdtrading.rtdserver",, "WDOK24_F_0", "VOV")</f>
        <v>0</v>
      </c>
      <c r="X37">
        <f>RTD("rtdtrading.rtdserver",, "WDOK24_F_0", "AJU")</f>
        <v>0</v>
      </c>
      <c r="Y37">
        <f>RTD("rtdtrading.rtdserver",, "WDOK24_F_0", "AJA")</f>
        <v>0</v>
      </c>
      <c r="Z37">
        <f>RTD("rtdtrading.rtdserver",, "WDOK24_F_0", "PRT")</f>
        <v>0</v>
      </c>
      <c r="AA37">
        <f>RTD("rtdtrading.rtdserver",, "WDOK24_F_0", "QTE")</f>
        <v>0</v>
      </c>
      <c r="AB37">
        <f>RTD("rtdtrading.rtdserver",, "WDOK24_F_0", "VPJ")</f>
        <v>0</v>
      </c>
      <c r="AC37">
        <f>RTD("rtdtrading.rtdserver",, "WDOK24_F_0", "SEM")</f>
        <v>0</v>
      </c>
      <c r="AD37">
        <f>RTD("rtdtrading.rtdserver",, "WDOK24_F_0", "MES")</f>
        <v>0</v>
      </c>
      <c r="AE37">
        <f>RTD("rtdtrading.rtdserver",, "WDOK24_F_0", "3M")</f>
        <v>0</v>
      </c>
      <c r="AF37">
        <f>RTD("rtdtrading.rtdserver",, "WDOK24_F_0", "6M")</f>
        <v>0</v>
      </c>
      <c r="AG37">
        <f>RTD("rtdtrading.rtdserver",, "WDOK24_F_0", "12M")</f>
        <v>0</v>
      </c>
      <c r="AH37">
        <f>RTD("rtdtrading.rtdserver",, "WDOK24_F_0", "ANO")</f>
        <v>0</v>
      </c>
      <c r="AI37">
        <f>RTD("rtdtrading.rtdserver",, "WDOK24_F_0", "TRIM")</f>
        <v>0</v>
      </c>
      <c r="AJ37">
        <f>RTD("rtdtrading.rtdserver",, "WDOK24_F_0", "SEMES")</f>
        <v>0</v>
      </c>
      <c r="AK37" t="str">
        <f>RTD("rtdtrading.rtdserver",, "WDOK24_F_0", "VEN")</f>
        <v>29/12/2024</v>
      </c>
      <c r="AL37" t="str">
        <f>RTD("rtdtrading.rtdserver",, "WDOK24_F_0", "VAL")</f>
        <v>29/12/2024</v>
      </c>
      <c r="AM37">
        <f>RTD("rtdtrading.rtdserver",, "WDOK24_F_0", "CAB")</f>
        <v>0</v>
      </c>
      <c r="AN37" t="str">
        <f>RTD("rtdtrading.rtdserver",, "WDOK24_F_0", "EST")</f>
        <v>NONE</v>
      </c>
      <c r="AO37" t="str">
        <f>RTD("rtdtrading.rtdserver",, "WDOK24_F_0", "BLACK")</f>
        <v>-</v>
      </c>
      <c r="AP37" t="str">
        <f>RTD("rtdtrading.rtdserver",, "WDOK24_F_0", "IMPVT")</f>
        <v>-</v>
      </c>
      <c r="AQ37" t="str">
        <f>RTD("rtdtrading.rtdserver",, "WDOK24_F_0", "DELTA")</f>
        <v>-</v>
      </c>
      <c r="AR37" t="str">
        <f>RTD("rtdtrading.rtdserver",, "WDOK24_F_0", "GAMA")</f>
        <v>-</v>
      </c>
      <c r="AS37" t="str">
        <f>RTD("rtdtrading.rtdserver",, "WDOK24_F_0", "THETA")</f>
        <v>-</v>
      </c>
      <c r="AT37" t="str">
        <f>RTD("rtdtrading.rtdserver",, "WDOK24_F_0", "RHO")</f>
        <v>-</v>
      </c>
      <c r="AU37" t="str">
        <f>RTD("rtdtrading.rtdserver",, "WDOK24_F_0", "VEGA")</f>
        <v>-</v>
      </c>
      <c r="AV37" t="str">
        <f>RTD("rtdtrading.rtdserver",, "WDOK24_F_0", "VIA")</f>
        <v>-</v>
      </c>
      <c r="AW37" t="str">
        <f>RTD("rtdtrading.rtdserver",, "WDOK24_F_0", "VIB")</f>
        <v>-</v>
      </c>
      <c r="AX37" t="str">
        <f>RTD("rtdtrading.rtdserver",, "WDOK24_F_0", "DOBRAR")</f>
        <v>-</v>
      </c>
      <c r="AY37" t="str">
        <f>RTD("rtdtrading.rtdserver",, "WDOK24_F_0", "VIVH")</f>
        <v>-</v>
      </c>
      <c r="AZ37" t="str">
        <f>RTD("rtdtrading.rtdserver",, "WDOK24_F_0", "VINT")</f>
        <v>-</v>
      </c>
      <c r="BA37" t="str">
        <f>RTD("rtdtrading.rtdserver",, "WDOK24_F_0", "VEXT")</f>
        <v>-</v>
      </c>
    </row>
    <row r="38" spans="3:53" x14ac:dyDescent="0.25">
      <c r="C38" t="s">
        <v>260</v>
      </c>
      <c r="D38" t="str">
        <f>RTD("rtdtrading.rtdserver",, "WINM24_F_0", "DAT")</f>
        <v>30/12/1899</v>
      </c>
      <c r="E38" t="str">
        <f>RTD("rtdtrading.rtdserver",, "WINM24_F_0", "HOR")</f>
        <v>00:00:00</v>
      </c>
      <c r="F38">
        <f>RTD("rtdtrading.rtdserver",, "WINM24_F_0", "ULT")</f>
        <v>0</v>
      </c>
      <c r="G38">
        <f>RTD("rtdtrading.rtdserver",, "WINM24_F_0", "ABE")</f>
        <v>0</v>
      </c>
      <c r="H38">
        <f>RTD("rtdtrading.rtdserver",, "WINM24_F_0", "MAX")</f>
        <v>0</v>
      </c>
      <c r="I38">
        <f>RTD("rtdtrading.rtdserver",, "WINM24_F_0", "MIN")</f>
        <v>0</v>
      </c>
      <c r="J38">
        <f>RTD("rtdtrading.rtdserver",, "WINM24_F_0", "FEC")</f>
        <v>0</v>
      </c>
      <c r="K38">
        <f>RTD("rtdtrading.rtdserver",, "WINM24_F_0", "PEX")</f>
        <v>0</v>
      </c>
      <c r="L38">
        <f>RTD("rtdtrading.rtdserver",, "WINM24_F_0", "VAR")</f>
        <v>0</v>
      </c>
      <c r="M38">
        <f>RTD("rtdtrading.rtdserver",, "WINM24_F_0", "VARPTS")</f>
        <v>0</v>
      </c>
      <c r="N38">
        <f>RTD("rtdtrading.rtdserver",, "WINM24_F_0", "MED")</f>
        <v>0</v>
      </c>
      <c r="O38" t="s">
        <v>249</v>
      </c>
      <c r="P38">
        <f>RTD("rtdtrading.rtdserver",, "WINM24_F_0", "NEG")</f>
        <v>0</v>
      </c>
      <c r="Q38">
        <f>RTD("rtdtrading.rtdserver",, "WINM24_F_0", "QUL")</f>
        <v>0</v>
      </c>
      <c r="R38">
        <f>RTD("rtdtrading.rtdserver",, "WINM24_F_0", "QTT")</f>
        <v>0</v>
      </c>
      <c r="S38">
        <f>RTD("rtdtrading.rtdserver",, "WINM24_F_0", "VOL")</f>
        <v>0</v>
      </c>
      <c r="T38">
        <f>RTD("rtdtrading.rtdserver",, "WINM24_F_0", "OCP")</f>
        <v>0</v>
      </c>
      <c r="U38">
        <f>RTD("rtdtrading.rtdserver",, "WINM24_F_0", "OVD")</f>
        <v>0</v>
      </c>
      <c r="V38">
        <f>RTD("rtdtrading.rtdserver",, "WINM24_F_0", "VOC")</f>
        <v>0</v>
      </c>
      <c r="W38">
        <f>RTD("rtdtrading.rtdserver",, "WINM24_F_0", "VOV")</f>
        <v>0</v>
      </c>
      <c r="X38">
        <f>RTD("rtdtrading.rtdserver",, "WINM24_F_0", "AJU")</f>
        <v>0</v>
      </c>
      <c r="Y38">
        <f>RTD("rtdtrading.rtdserver",, "WINM24_F_0", "AJA")</f>
        <v>0</v>
      </c>
      <c r="Z38">
        <f>RTD("rtdtrading.rtdserver",, "WINM24_F_0", "PRT")</f>
        <v>0</v>
      </c>
      <c r="AA38">
        <f>RTD("rtdtrading.rtdserver",, "WINM24_F_0", "QTE")</f>
        <v>0</v>
      </c>
      <c r="AB38">
        <f>RTD("rtdtrading.rtdserver",, "WINM24_F_0", "VPJ")</f>
        <v>0</v>
      </c>
      <c r="AC38">
        <f>RTD("rtdtrading.rtdserver",, "WINM24_F_0", "SEM")</f>
        <v>0</v>
      </c>
      <c r="AD38">
        <f>RTD("rtdtrading.rtdserver",, "WINM24_F_0", "MES")</f>
        <v>0</v>
      </c>
      <c r="AE38">
        <f>RTD("rtdtrading.rtdserver",, "WINM24_F_0", "3M")</f>
        <v>0</v>
      </c>
      <c r="AF38">
        <f>RTD("rtdtrading.rtdserver",, "WINM24_F_0", "6M")</f>
        <v>0</v>
      </c>
      <c r="AG38">
        <f>RTD("rtdtrading.rtdserver",, "WINM24_F_0", "12M")</f>
        <v>0</v>
      </c>
      <c r="AH38">
        <f>RTD("rtdtrading.rtdserver",, "WINM24_F_0", "ANO")</f>
        <v>0</v>
      </c>
      <c r="AI38">
        <f>RTD("rtdtrading.rtdserver",, "WINM24_F_0", "TRIM")</f>
        <v>0</v>
      </c>
      <c r="AJ38">
        <f>RTD("rtdtrading.rtdserver",, "WINM24_F_0", "SEMES")</f>
        <v>0</v>
      </c>
      <c r="AK38" t="str">
        <f>RTD("rtdtrading.rtdserver",, "WINM24_F_0", "VEN")</f>
        <v>12/06/2024</v>
      </c>
      <c r="AL38" t="str">
        <f>RTD("rtdtrading.rtdserver",, "WINM24_F_0", "VAL")</f>
        <v>12/06/2024</v>
      </c>
      <c r="AM38">
        <f>RTD("rtdtrading.rtdserver",, "WINM24_F_0", "CAB")</f>
        <v>0</v>
      </c>
      <c r="AN38" t="str">
        <f>RTD("rtdtrading.rtdserver",, "WINM24_F_0", "EST")</f>
        <v>NONE</v>
      </c>
      <c r="AO38" t="str">
        <f>RTD("rtdtrading.rtdserver",, "WINM24_F_0", "BLACK")</f>
        <v>-</v>
      </c>
      <c r="AP38" t="str">
        <f>RTD("rtdtrading.rtdserver",, "WINM24_F_0", "IMPVT")</f>
        <v>-</v>
      </c>
      <c r="AQ38" t="str">
        <f>RTD("rtdtrading.rtdserver",, "WINM24_F_0", "DELTA")</f>
        <v>-</v>
      </c>
      <c r="AR38" t="str">
        <f>RTD("rtdtrading.rtdserver",, "WINM24_F_0", "GAMA")</f>
        <v>-</v>
      </c>
      <c r="AS38" t="str">
        <f>RTD("rtdtrading.rtdserver",, "WINM24_F_0", "THETA")</f>
        <v>-</v>
      </c>
      <c r="AT38" t="str">
        <f>RTD("rtdtrading.rtdserver",, "WINM24_F_0", "RHO")</f>
        <v>-</v>
      </c>
      <c r="AU38" t="str">
        <f>RTD("rtdtrading.rtdserver",, "WINM24_F_0", "VEGA")</f>
        <v>-</v>
      </c>
      <c r="AV38" t="str">
        <f>RTD("rtdtrading.rtdserver",, "WINM24_F_0", "VIA")</f>
        <v>-</v>
      </c>
      <c r="AW38" t="str">
        <f>RTD("rtdtrading.rtdserver",, "WINM24_F_0", "VIB")</f>
        <v>-</v>
      </c>
      <c r="AX38" t="str">
        <f>RTD("rtdtrading.rtdserver",, "WINM24_F_0", "DOBRAR")</f>
        <v>-</v>
      </c>
      <c r="AY38" t="str">
        <f>RTD("rtdtrading.rtdserver",, "WINM24_F_0", "VIVH")</f>
        <v>-</v>
      </c>
      <c r="AZ38" t="str">
        <f>RTD("rtdtrading.rtdserver",, "WINM24_F_0", "VINT")</f>
        <v>-</v>
      </c>
      <c r="BA38" t="str">
        <f>RTD("rtdtrading.rtdserver",, "WINM24_F_0", "VEXT")</f>
        <v>-</v>
      </c>
    </row>
    <row r="39" spans="3:53" x14ac:dyDescent="0.25">
      <c r="C39" t="s">
        <v>263</v>
      </c>
      <c r="D39" t="str">
        <f>RTD("rtdtrading.rtdserver",, "WINQ24_F_0", "DAT")</f>
        <v>30/12/1899</v>
      </c>
      <c r="E39" t="str">
        <f>RTD("rtdtrading.rtdserver",, "WINQ24_F_0", "HOR")</f>
        <v>00:00:00</v>
      </c>
      <c r="F39">
        <f>RTD("rtdtrading.rtdserver",, "WINQ24_F_0", "ULT")</f>
        <v>0</v>
      </c>
      <c r="G39">
        <f>RTD("rtdtrading.rtdserver",, "WINQ24_F_0", "ABE")</f>
        <v>0</v>
      </c>
      <c r="H39">
        <f>RTD("rtdtrading.rtdserver",, "WINQ24_F_0", "MAX")</f>
        <v>0</v>
      </c>
      <c r="I39">
        <f>RTD("rtdtrading.rtdserver",, "WINQ24_F_0", "MIN")</f>
        <v>0</v>
      </c>
      <c r="J39">
        <f>RTD("rtdtrading.rtdserver",, "WINQ24_F_0", "FEC")</f>
        <v>0</v>
      </c>
      <c r="K39">
        <f>RTD("rtdtrading.rtdserver",, "WINQ24_F_0", "PEX")</f>
        <v>0</v>
      </c>
      <c r="L39">
        <f>RTD("rtdtrading.rtdserver",, "WINQ24_F_0", "VAR")</f>
        <v>0</v>
      </c>
      <c r="M39">
        <f>RTD("rtdtrading.rtdserver",, "WINQ24_F_0", "VARPTS")</f>
        <v>0</v>
      </c>
      <c r="N39">
        <f>RTD("rtdtrading.rtdserver",, "WINQ24_F_0", "MED")</f>
        <v>0</v>
      </c>
      <c r="O39" t="s">
        <v>249</v>
      </c>
      <c r="P39">
        <f>RTD("rtdtrading.rtdserver",, "WINQ24_F_0", "NEG")</f>
        <v>0</v>
      </c>
      <c r="Q39">
        <f>RTD("rtdtrading.rtdserver",, "WINQ24_F_0", "QUL")</f>
        <v>0</v>
      </c>
      <c r="R39">
        <f>RTD("rtdtrading.rtdserver",, "WINQ24_F_0", "QTT")</f>
        <v>0</v>
      </c>
      <c r="S39">
        <f>RTD("rtdtrading.rtdserver",, "WINQ24_F_0", "VOL")</f>
        <v>0</v>
      </c>
      <c r="T39">
        <f>RTD("rtdtrading.rtdserver",, "WINQ24_F_0", "OCP")</f>
        <v>0</v>
      </c>
      <c r="U39">
        <f>RTD("rtdtrading.rtdserver",, "WINQ24_F_0", "OVD")</f>
        <v>0</v>
      </c>
      <c r="V39">
        <f>RTD("rtdtrading.rtdserver",, "WINQ24_F_0", "VOC")</f>
        <v>0</v>
      </c>
      <c r="W39">
        <f>RTD("rtdtrading.rtdserver",, "WINQ24_F_0", "VOV")</f>
        <v>0</v>
      </c>
      <c r="X39">
        <f>RTD("rtdtrading.rtdserver",, "WINQ24_F_0", "AJU")</f>
        <v>0</v>
      </c>
      <c r="Y39">
        <f>RTD("rtdtrading.rtdserver",, "WINQ24_F_0", "AJA")</f>
        <v>0</v>
      </c>
      <c r="Z39">
        <f>RTD("rtdtrading.rtdserver",, "WINQ24_F_0", "PRT")</f>
        <v>0</v>
      </c>
      <c r="AA39">
        <f>RTD("rtdtrading.rtdserver",, "WINQ24_F_0", "QTE")</f>
        <v>0</v>
      </c>
      <c r="AB39">
        <f>RTD("rtdtrading.rtdserver",, "WINQ24_F_0", "VPJ")</f>
        <v>0</v>
      </c>
      <c r="AC39">
        <f>RTD("rtdtrading.rtdserver",, "WINQ24_F_0", "SEM")</f>
        <v>0</v>
      </c>
      <c r="AD39">
        <f>RTD("rtdtrading.rtdserver",, "WINQ24_F_0", "MES")</f>
        <v>0</v>
      </c>
      <c r="AE39">
        <f>RTD("rtdtrading.rtdserver",, "WINQ24_F_0", "3M")</f>
        <v>0</v>
      </c>
      <c r="AF39">
        <f>RTD("rtdtrading.rtdserver",, "WINQ24_F_0", "6M")</f>
        <v>0</v>
      </c>
      <c r="AG39">
        <f>RTD("rtdtrading.rtdserver",, "WINQ24_F_0", "12M")</f>
        <v>0</v>
      </c>
      <c r="AH39">
        <f>RTD("rtdtrading.rtdserver",, "WINQ24_F_0", "ANO")</f>
        <v>0</v>
      </c>
      <c r="AI39">
        <f>RTD("rtdtrading.rtdserver",, "WINQ24_F_0", "TRIM")</f>
        <v>0</v>
      </c>
      <c r="AJ39">
        <f>RTD("rtdtrading.rtdserver",, "WINQ24_F_0", "SEMES")</f>
        <v>0</v>
      </c>
      <c r="AK39" t="str">
        <f>RTD("rtdtrading.rtdserver",, "WINQ24_F_0", "VEN")</f>
        <v>29/12/2024</v>
      </c>
      <c r="AL39" t="str">
        <f>RTD("rtdtrading.rtdserver",, "WINQ24_F_0", "VAL")</f>
        <v>29/12/2024</v>
      </c>
      <c r="AM39">
        <f>RTD("rtdtrading.rtdserver",, "WINQ24_F_0", "CAB")</f>
        <v>0</v>
      </c>
      <c r="AN39" t="str">
        <f>RTD("rtdtrading.rtdserver",, "WINQ24_F_0", "EST")</f>
        <v>NONE</v>
      </c>
      <c r="AO39" t="str">
        <f>RTD("rtdtrading.rtdserver",, "WINQ24_F_0", "BLACK")</f>
        <v>-</v>
      </c>
      <c r="AP39" t="str">
        <f>RTD("rtdtrading.rtdserver",, "WINQ24_F_0", "IMPVT")</f>
        <v>-</v>
      </c>
      <c r="AQ39" t="str">
        <f>RTD("rtdtrading.rtdserver",, "WINQ24_F_0", "DELTA")</f>
        <v>-</v>
      </c>
      <c r="AR39" t="str">
        <f>RTD("rtdtrading.rtdserver",, "WINQ24_F_0", "GAMA")</f>
        <v>-</v>
      </c>
      <c r="AS39" t="str">
        <f>RTD("rtdtrading.rtdserver",, "WINQ24_F_0", "THETA")</f>
        <v>-</v>
      </c>
      <c r="AT39" t="str">
        <f>RTD("rtdtrading.rtdserver",, "WINQ24_F_0", "RHO")</f>
        <v>-</v>
      </c>
      <c r="AU39" t="str">
        <f>RTD("rtdtrading.rtdserver",, "WINQ24_F_0", "VEGA")</f>
        <v>-</v>
      </c>
      <c r="AV39" t="str">
        <f>RTD("rtdtrading.rtdserver",, "WINQ24_F_0", "VIA")</f>
        <v>-</v>
      </c>
      <c r="AW39" t="str">
        <f>RTD("rtdtrading.rtdserver",, "WINQ24_F_0", "VIB")</f>
        <v>-</v>
      </c>
      <c r="AX39" t="str">
        <f>RTD("rtdtrading.rtdserver",, "WINQ24_F_0", "DOBRAR")</f>
        <v>-</v>
      </c>
      <c r="AY39" t="str">
        <f>RTD("rtdtrading.rtdserver",, "WINQ24_F_0", "VIVH")</f>
        <v>-</v>
      </c>
      <c r="AZ39" t="str">
        <f>RTD("rtdtrading.rtdserver",, "WINQ24_F_0", "VINT")</f>
        <v>-</v>
      </c>
      <c r="BA39" t="str">
        <f>RTD("rtdtrading.rtdserver",, "WINQ24_F_0", "VEXT")</f>
        <v>-</v>
      </c>
    </row>
    <row r="40" spans="3:53" x14ac:dyDescent="0.25">
      <c r="C40" t="s">
        <v>266</v>
      </c>
      <c r="D40" t="str">
        <f>RTD("rtdtrading.rtdserver",, "WING24_F_0", "DAT")</f>
        <v>30/12/1899</v>
      </c>
      <c r="E40" t="str">
        <f>RTD("rtdtrading.rtdserver",, "WING24_F_0", "HOR")</f>
        <v>00:00:00</v>
      </c>
      <c r="F40">
        <f>RTD("rtdtrading.rtdserver",, "WING24_F_0", "ULT")</f>
        <v>0</v>
      </c>
      <c r="G40">
        <f>RTD("rtdtrading.rtdserver",, "WING24_F_0", "ABE")</f>
        <v>0</v>
      </c>
      <c r="H40">
        <f>RTD("rtdtrading.rtdserver",, "WING24_F_0", "MAX")</f>
        <v>0</v>
      </c>
      <c r="I40">
        <f>RTD("rtdtrading.rtdserver",, "WING24_F_0", "MIN")</f>
        <v>0</v>
      </c>
      <c r="J40">
        <f>RTD("rtdtrading.rtdserver",, "WING24_F_0", "FEC")</f>
        <v>0</v>
      </c>
      <c r="K40">
        <f>RTD("rtdtrading.rtdserver",, "WING24_F_0", "PEX")</f>
        <v>0</v>
      </c>
      <c r="L40">
        <f>RTD("rtdtrading.rtdserver",, "WING24_F_0", "VAR")</f>
        <v>0</v>
      </c>
      <c r="M40">
        <f>RTD("rtdtrading.rtdserver",, "WING24_F_0", "VARPTS")</f>
        <v>0</v>
      </c>
      <c r="N40">
        <f>RTD("rtdtrading.rtdserver",, "WING24_F_0", "MED")</f>
        <v>0</v>
      </c>
      <c r="O40" t="s">
        <v>249</v>
      </c>
      <c r="P40">
        <f>RTD("rtdtrading.rtdserver",, "WING24_F_0", "NEG")</f>
        <v>0</v>
      </c>
      <c r="Q40">
        <f>RTD("rtdtrading.rtdserver",, "WING24_F_0", "QUL")</f>
        <v>0</v>
      </c>
      <c r="R40">
        <f>RTD("rtdtrading.rtdserver",, "WING24_F_0", "QTT")</f>
        <v>0</v>
      </c>
      <c r="S40">
        <f>RTD("rtdtrading.rtdserver",, "WING24_F_0", "VOL")</f>
        <v>0</v>
      </c>
      <c r="T40">
        <f>RTD("rtdtrading.rtdserver",, "WING24_F_0", "OCP")</f>
        <v>0</v>
      </c>
      <c r="U40">
        <f>RTD("rtdtrading.rtdserver",, "WING24_F_0", "OVD")</f>
        <v>0</v>
      </c>
      <c r="V40">
        <f>RTD("rtdtrading.rtdserver",, "WING24_F_0", "VOC")</f>
        <v>0</v>
      </c>
      <c r="W40">
        <f>RTD("rtdtrading.rtdserver",, "WING24_F_0", "VOV")</f>
        <v>0</v>
      </c>
      <c r="X40">
        <f>RTD("rtdtrading.rtdserver",, "WING24_F_0", "AJU")</f>
        <v>0</v>
      </c>
      <c r="Y40">
        <f>RTD("rtdtrading.rtdserver",, "WING24_F_0", "AJA")</f>
        <v>0</v>
      </c>
      <c r="Z40">
        <f>RTD("rtdtrading.rtdserver",, "WING24_F_0", "PRT")</f>
        <v>0</v>
      </c>
      <c r="AA40">
        <f>RTD("rtdtrading.rtdserver",, "WING24_F_0", "QTE")</f>
        <v>0</v>
      </c>
      <c r="AB40">
        <f>RTD("rtdtrading.rtdserver",, "WING24_F_0", "VPJ")</f>
        <v>0</v>
      </c>
      <c r="AC40">
        <f>RTD("rtdtrading.rtdserver",, "WING24_F_0", "SEM")</f>
        <v>0</v>
      </c>
      <c r="AD40">
        <f>RTD("rtdtrading.rtdserver",, "WING24_F_0", "MES")</f>
        <v>0</v>
      </c>
      <c r="AE40">
        <f>RTD("rtdtrading.rtdserver",, "WING24_F_0", "3M")</f>
        <v>0</v>
      </c>
      <c r="AF40">
        <f>RTD("rtdtrading.rtdserver",, "WING24_F_0", "6M")</f>
        <v>0</v>
      </c>
      <c r="AG40">
        <f>RTD("rtdtrading.rtdserver",, "WING24_F_0", "12M")</f>
        <v>0</v>
      </c>
      <c r="AH40">
        <f>RTD("rtdtrading.rtdserver",, "WING24_F_0", "ANO")</f>
        <v>0</v>
      </c>
      <c r="AI40">
        <f>RTD("rtdtrading.rtdserver",, "WING24_F_0", "TRIM")</f>
        <v>0</v>
      </c>
      <c r="AJ40">
        <f>RTD("rtdtrading.rtdserver",, "WING24_F_0", "SEMES")</f>
        <v>0</v>
      </c>
      <c r="AK40" t="str">
        <f>RTD("rtdtrading.rtdserver",, "WING24_F_0", "VEN")</f>
        <v>14/02/2024</v>
      </c>
      <c r="AL40" t="str">
        <f>RTD("rtdtrading.rtdserver",, "WING24_F_0", "VAL")</f>
        <v>14/02/2024</v>
      </c>
      <c r="AM40">
        <f>RTD("rtdtrading.rtdserver",, "WING24_F_0", "CAB")</f>
        <v>0</v>
      </c>
      <c r="AN40" t="str">
        <f>RTD("rtdtrading.rtdserver",, "WING24_F_0", "EST")</f>
        <v>NONE</v>
      </c>
      <c r="AO40" t="str">
        <f>RTD("rtdtrading.rtdserver",, "WING24_F_0", "BLACK")</f>
        <v>-</v>
      </c>
      <c r="AP40" t="str">
        <f>RTD("rtdtrading.rtdserver",, "WING24_F_0", "IMPVT")</f>
        <v>-</v>
      </c>
      <c r="AQ40" t="str">
        <f>RTD("rtdtrading.rtdserver",, "WING24_F_0", "DELTA")</f>
        <v>-</v>
      </c>
      <c r="AR40" t="str">
        <f>RTD("rtdtrading.rtdserver",, "WING24_F_0", "GAMA")</f>
        <v>-</v>
      </c>
      <c r="AS40" t="str">
        <f>RTD("rtdtrading.rtdserver",, "WING24_F_0", "THETA")</f>
        <v>-</v>
      </c>
      <c r="AT40" t="str">
        <f>RTD("rtdtrading.rtdserver",, "WING24_F_0", "RHO")</f>
        <v>-</v>
      </c>
      <c r="AU40" t="str">
        <f>RTD("rtdtrading.rtdserver",, "WING24_F_0", "VEGA")</f>
        <v>-</v>
      </c>
      <c r="AV40" t="str">
        <f>RTD("rtdtrading.rtdserver",, "WING24_F_0", "VIA")</f>
        <v>-</v>
      </c>
      <c r="AW40" t="str">
        <f>RTD("rtdtrading.rtdserver",, "WING24_F_0", "VIB")</f>
        <v>-</v>
      </c>
      <c r="AX40" t="str">
        <f>RTD("rtdtrading.rtdserver",, "WING24_F_0", "DOBRAR")</f>
        <v>-</v>
      </c>
      <c r="AY40" t="str">
        <f>RTD("rtdtrading.rtdserver",, "WING24_F_0", "VIVH")</f>
        <v>-</v>
      </c>
      <c r="AZ40" t="str">
        <f>RTD("rtdtrading.rtdserver",, "WING24_F_0", "VINT")</f>
        <v>-</v>
      </c>
      <c r="BA40" t="str">
        <f>RTD("rtdtrading.rtdserver",, "WING24_F_0", "VEXT")</f>
        <v>-</v>
      </c>
    </row>
    <row r="41" spans="3:53" x14ac:dyDescent="0.25">
      <c r="C41" t="s">
        <v>270</v>
      </c>
      <c r="D41" t="str">
        <f>RTD("rtdtrading.rtdserver",, "WINZ24_F_0", "DAT")</f>
        <v>30/12/1899</v>
      </c>
      <c r="E41" t="str">
        <f>RTD("rtdtrading.rtdserver",, "WINZ24_F_0", "HOR")</f>
        <v>00:00:00</v>
      </c>
      <c r="F41">
        <f>RTD("rtdtrading.rtdserver",, "WINZ24_F_0", "ULT")</f>
        <v>0</v>
      </c>
      <c r="G41">
        <f>RTD("rtdtrading.rtdserver",, "WINZ24_F_0", "ABE")</f>
        <v>0</v>
      </c>
      <c r="H41">
        <f>RTD("rtdtrading.rtdserver",, "WINZ24_F_0", "MAX")</f>
        <v>0</v>
      </c>
      <c r="I41">
        <f>RTD("rtdtrading.rtdserver",, "WINZ24_F_0", "MIN")</f>
        <v>0</v>
      </c>
      <c r="J41">
        <f>RTD("rtdtrading.rtdserver",, "WINZ24_F_0", "FEC")</f>
        <v>0</v>
      </c>
      <c r="K41">
        <f>RTD("rtdtrading.rtdserver",, "WINZ24_F_0", "PEX")</f>
        <v>0</v>
      </c>
      <c r="L41">
        <f>RTD("rtdtrading.rtdserver",, "WINZ24_F_0", "VAR")</f>
        <v>0</v>
      </c>
      <c r="M41">
        <f>RTD("rtdtrading.rtdserver",, "WINZ24_F_0", "VARPTS")</f>
        <v>0</v>
      </c>
      <c r="N41">
        <f>RTD("rtdtrading.rtdserver",, "WINZ24_F_0", "MED")</f>
        <v>0</v>
      </c>
      <c r="O41" t="s">
        <v>249</v>
      </c>
      <c r="P41">
        <f>RTD("rtdtrading.rtdserver",, "WINZ24_F_0", "NEG")</f>
        <v>0</v>
      </c>
      <c r="Q41">
        <f>RTD("rtdtrading.rtdserver",, "WINZ24_F_0", "QUL")</f>
        <v>0</v>
      </c>
      <c r="R41">
        <f>RTD("rtdtrading.rtdserver",, "WINZ24_F_0", "QTT")</f>
        <v>0</v>
      </c>
      <c r="S41">
        <f>RTD("rtdtrading.rtdserver",, "WINZ24_F_0", "VOL")</f>
        <v>0</v>
      </c>
      <c r="T41">
        <f>RTD("rtdtrading.rtdserver",, "WINZ24_F_0", "OCP")</f>
        <v>0</v>
      </c>
      <c r="U41">
        <f>RTD("rtdtrading.rtdserver",, "WINZ24_F_0", "OVD")</f>
        <v>0</v>
      </c>
      <c r="V41">
        <f>RTD("rtdtrading.rtdserver",, "WINZ24_F_0", "VOC")</f>
        <v>0</v>
      </c>
      <c r="W41">
        <f>RTD("rtdtrading.rtdserver",, "WINZ24_F_0", "VOV")</f>
        <v>0</v>
      </c>
      <c r="X41">
        <f>RTD("rtdtrading.rtdserver",, "WINZ24_F_0", "AJU")</f>
        <v>0</v>
      </c>
      <c r="Y41">
        <f>RTD("rtdtrading.rtdserver",, "WINZ24_F_0", "AJA")</f>
        <v>0</v>
      </c>
      <c r="Z41">
        <f>RTD("rtdtrading.rtdserver",, "WINZ24_F_0", "PRT")</f>
        <v>0</v>
      </c>
      <c r="AA41">
        <f>RTD("rtdtrading.rtdserver",, "WINZ24_F_0", "QTE")</f>
        <v>0</v>
      </c>
      <c r="AB41">
        <f>RTD("rtdtrading.rtdserver",, "WINZ24_F_0", "VPJ")</f>
        <v>0</v>
      </c>
      <c r="AC41">
        <f>RTD("rtdtrading.rtdserver",, "WINZ24_F_0", "SEM")</f>
        <v>0</v>
      </c>
      <c r="AD41">
        <f>RTD("rtdtrading.rtdserver",, "WINZ24_F_0", "MES")</f>
        <v>0</v>
      </c>
      <c r="AE41">
        <f>RTD("rtdtrading.rtdserver",, "WINZ24_F_0", "3M")</f>
        <v>0</v>
      </c>
      <c r="AF41">
        <f>RTD("rtdtrading.rtdserver",, "WINZ24_F_0", "6M")</f>
        <v>0</v>
      </c>
      <c r="AG41">
        <f>RTD("rtdtrading.rtdserver",, "WINZ24_F_0", "12M")</f>
        <v>0</v>
      </c>
      <c r="AH41">
        <f>RTD("rtdtrading.rtdserver",, "WINZ24_F_0", "ANO")</f>
        <v>0</v>
      </c>
      <c r="AI41">
        <f>RTD("rtdtrading.rtdserver",, "WINZ24_F_0", "TRIM")</f>
        <v>0</v>
      </c>
      <c r="AJ41">
        <f>RTD("rtdtrading.rtdserver",, "WINZ24_F_0", "SEMES")</f>
        <v>0</v>
      </c>
      <c r="AK41" t="str">
        <f>RTD("rtdtrading.rtdserver",, "WINZ24_F_0", "VEN")</f>
        <v>18/12/2024</v>
      </c>
      <c r="AL41" t="str">
        <f>RTD("rtdtrading.rtdserver",, "WINZ24_F_0", "VAL")</f>
        <v>18/12/2024</v>
      </c>
      <c r="AM41">
        <f>RTD("rtdtrading.rtdserver",, "WINZ24_F_0", "CAB")</f>
        <v>0</v>
      </c>
      <c r="AN41" t="str">
        <f>RTD("rtdtrading.rtdserver",, "WINZ24_F_0", "EST")</f>
        <v>NONE</v>
      </c>
      <c r="AO41" t="str">
        <f>RTD("rtdtrading.rtdserver",, "WINZ24_F_0", "BLACK")</f>
        <v>-</v>
      </c>
      <c r="AP41" t="str">
        <f>RTD("rtdtrading.rtdserver",, "WINZ24_F_0", "IMPVT")</f>
        <v>-</v>
      </c>
      <c r="AQ41" t="str">
        <f>RTD("rtdtrading.rtdserver",, "WINZ24_F_0", "DELTA")</f>
        <v>-</v>
      </c>
      <c r="AR41" t="str">
        <f>RTD("rtdtrading.rtdserver",, "WINZ24_F_0", "GAMA")</f>
        <v>-</v>
      </c>
      <c r="AS41" t="str">
        <f>RTD("rtdtrading.rtdserver",, "WINZ24_F_0", "THETA")</f>
        <v>-</v>
      </c>
      <c r="AT41" t="str">
        <f>RTD("rtdtrading.rtdserver",, "WINZ24_F_0", "RHO")</f>
        <v>-</v>
      </c>
      <c r="AU41" t="str">
        <f>RTD("rtdtrading.rtdserver",, "WINZ24_F_0", "VEGA")</f>
        <v>-</v>
      </c>
      <c r="AV41" t="str">
        <f>RTD("rtdtrading.rtdserver",, "WINZ24_F_0", "VIA")</f>
        <v>-</v>
      </c>
      <c r="AW41" t="str">
        <f>RTD("rtdtrading.rtdserver",, "WINZ24_F_0", "VIB")</f>
        <v>-</v>
      </c>
      <c r="AX41" t="str">
        <f>RTD("rtdtrading.rtdserver",, "WINZ24_F_0", "DOBRAR")</f>
        <v>-</v>
      </c>
      <c r="AY41" t="str">
        <f>RTD("rtdtrading.rtdserver",, "WINZ24_F_0", "VIVH")</f>
        <v>-</v>
      </c>
      <c r="AZ41" t="str">
        <f>RTD("rtdtrading.rtdserver",, "WINZ24_F_0", "VINT")</f>
        <v>-</v>
      </c>
      <c r="BA41" t="str">
        <f>RTD("rtdtrading.rtdserver",, "WINZ24_F_0", "VEXT")</f>
        <v>-</v>
      </c>
    </row>
    <row r="42" spans="3:53" x14ac:dyDescent="0.25">
      <c r="C42" t="s">
        <v>273</v>
      </c>
      <c r="D42" t="str">
        <f>RTD("rtdtrading.rtdserver",, "WINV24_F_0", "DAT")</f>
        <v>30/12/1899</v>
      </c>
      <c r="E42" t="str">
        <f>RTD("rtdtrading.rtdserver",, "WINV24_F_0", "HOR")</f>
        <v>00:00:00</v>
      </c>
      <c r="F42">
        <f>RTD("rtdtrading.rtdserver",, "WINV24_F_0", "ULT")</f>
        <v>0</v>
      </c>
      <c r="G42">
        <f>RTD("rtdtrading.rtdserver",, "WINV24_F_0", "ABE")</f>
        <v>0</v>
      </c>
      <c r="H42">
        <f>RTD("rtdtrading.rtdserver",, "WINV24_F_0", "MAX")</f>
        <v>0</v>
      </c>
      <c r="I42">
        <f>RTD("rtdtrading.rtdserver",, "WINV24_F_0", "MIN")</f>
        <v>0</v>
      </c>
      <c r="J42">
        <f>RTD("rtdtrading.rtdserver",, "WINV24_F_0", "FEC")</f>
        <v>0</v>
      </c>
      <c r="K42">
        <f>RTD("rtdtrading.rtdserver",, "WINV24_F_0", "PEX")</f>
        <v>0</v>
      </c>
      <c r="L42">
        <f>RTD("rtdtrading.rtdserver",, "WINV24_F_0", "VAR")</f>
        <v>0</v>
      </c>
      <c r="M42">
        <f>RTD("rtdtrading.rtdserver",, "WINV24_F_0", "VARPTS")</f>
        <v>0</v>
      </c>
      <c r="N42">
        <f>RTD("rtdtrading.rtdserver",, "WINV24_F_0", "MED")</f>
        <v>0</v>
      </c>
      <c r="O42" t="s">
        <v>249</v>
      </c>
      <c r="P42">
        <f>RTD("rtdtrading.rtdserver",, "WINV24_F_0", "NEG")</f>
        <v>0</v>
      </c>
      <c r="Q42">
        <f>RTD("rtdtrading.rtdserver",, "WINV24_F_0", "QUL")</f>
        <v>0</v>
      </c>
      <c r="R42">
        <f>RTD("rtdtrading.rtdserver",, "WINV24_F_0", "QTT")</f>
        <v>0</v>
      </c>
      <c r="S42">
        <f>RTD("rtdtrading.rtdserver",, "WINV24_F_0", "VOL")</f>
        <v>0</v>
      </c>
      <c r="T42">
        <f>RTD("rtdtrading.rtdserver",, "WINV24_F_0", "OCP")</f>
        <v>0</v>
      </c>
      <c r="U42">
        <f>RTD("rtdtrading.rtdserver",, "WINV24_F_0", "OVD")</f>
        <v>0</v>
      </c>
      <c r="V42">
        <f>RTD("rtdtrading.rtdserver",, "WINV24_F_0", "VOC")</f>
        <v>0</v>
      </c>
      <c r="W42">
        <f>RTD("rtdtrading.rtdserver",, "WINV24_F_0", "VOV")</f>
        <v>0</v>
      </c>
      <c r="X42">
        <f>RTD("rtdtrading.rtdserver",, "WINV24_F_0", "AJU")</f>
        <v>0</v>
      </c>
      <c r="Y42">
        <f>RTD("rtdtrading.rtdserver",, "WINV24_F_0", "AJA")</f>
        <v>0</v>
      </c>
      <c r="Z42">
        <f>RTD("rtdtrading.rtdserver",, "WINV24_F_0", "PRT")</f>
        <v>0</v>
      </c>
      <c r="AA42">
        <f>RTD("rtdtrading.rtdserver",, "WINV24_F_0", "QTE")</f>
        <v>0</v>
      </c>
      <c r="AB42">
        <f>RTD("rtdtrading.rtdserver",, "WINV24_F_0", "VPJ")</f>
        <v>0</v>
      </c>
      <c r="AC42">
        <f>RTD("rtdtrading.rtdserver",, "WINV24_F_0", "SEM")</f>
        <v>0</v>
      </c>
      <c r="AD42">
        <f>RTD("rtdtrading.rtdserver",, "WINV24_F_0", "MES")</f>
        <v>0</v>
      </c>
      <c r="AE42">
        <f>RTD("rtdtrading.rtdserver",, "WINV24_F_0", "3M")</f>
        <v>0</v>
      </c>
      <c r="AF42">
        <f>RTD("rtdtrading.rtdserver",, "WINV24_F_0", "6M")</f>
        <v>0</v>
      </c>
      <c r="AG42">
        <f>RTD("rtdtrading.rtdserver",, "WINV24_F_0", "12M")</f>
        <v>0</v>
      </c>
      <c r="AH42">
        <f>RTD("rtdtrading.rtdserver",, "WINV24_F_0", "ANO")</f>
        <v>0</v>
      </c>
      <c r="AI42">
        <f>RTD("rtdtrading.rtdserver",, "WINV24_F_0", "TRIM")</f>
        <v>0</v>
      </c>
      <c r="AJ42">
        <f>RTD("rtdtrading.rtdserver",, "WINV24_F_0", "SEMES")</f>
        <v>0</v>
      </c>
      <c r="AK42" t="str">
        <f>RTD("rtdtrading.rtdserver",, "WINV24_F_0", "VEN")</f>
        <v>16/10/2024</v>
      </c>
      <c r="AL42" t="str">
        <f>RTD("rtdtrading.rtdserver",, "WINV24_F_0", "VAL")</f>
        <v>16/10/2024</v>
      </c>
      <c r="AM42">
        <f>RTD("rtdtrading.rtdserver",, "WINV24_F_0", "CAB")</f>
        <v>0</v>
      </c>
      <c r="AN42" t="str">
        <f>RTD("rtdtrading.rtdserver",, "WINV24_F_0", "EST")</f>
        <v>NONE</v>
      </c>
      <c r="AO42" t="str">
        <f>RTD("rtdtrading.rtdserver",, "WINV24_F_0", "BLACK")</f>
        <v>-</v>
      </c>
      <c r="AP42" t="str">
        <f>RTD("rtdtrading.rtdserver",, "WINV24_F_0", "IMPVT")</f>
        <v>-</v>
      </c>
      <c r="AQ42" t="str">
        <f>RTD("rtdtrading.rtdserver",, "WINV24_F_0", "DELTA")</f>
        <v>-</v>
      </c>
      <c r="AR42" t="str">
        <f>RTD("rtdtrading.rtdserver",, "WINV24_F_0", "GAMA")</f>
        <v>-</v>
      </c>
      <c r="AS42" t="str">
        <f>RTD("rtdtrading.rtdserver",, "WINV24_F_0", "THETA")</f>
        <v>-</v>
      </c>
      <c r="AT42" t="str">
        <f>RTD("rtdtrading.rtdserver",, "WINV24_F_0", "RHO")</f>
        <v>-</v>
      </c>
      <c r="AU42" t="str">
        <f>RTD("rtdtrading.rtdserver",, "WINV24_F_0", "VEGA")</f>
        <v>-</v>
      </c>
      <c r="AV42" t="str">
        <f>RTD("rtdtrading.rtdserver",, "WINV24_F_0", "VIA")</f>
        <v>-</v>
      </c>
      <c r="AW42" t="str">
        <f>RTD("rtdtrading.rtdserver",, "WINV24_F_0", "VIB")</f>
        <v>-</v>
      </c>
      <c r="AX42" t="str">
        <f>RTD("rtdtrading.rtdserver",, "WINV24_F_0", "DOBRAR")</f>
        <v>-</v>
      </c>
      <c r="AY42" t="str">
        <f>RTD("rtdtrading.rtdserver",, "WINV24_F_0", "VIVH")</f>
        <v>-</v>
      </c>
      <c r="AZ42" t="str">
        <f>RTD("rtdtrading.rtdserver",, "WINV24_F_0", "VINT")</f>
        <v>-</v>
      </c>
      <c r="BA42" t="str">
        <f>RTD("rtdtrading.rtdserver",, "WINV24_F_0", "VEXT")</f>
        <v>-</v>
      </c>
    </row>
    <row r="43" spans="3:53" x14ac:dyDescent="0.25">
      <c r="C43" t="s">
        <v>276</v>
      </c>
      <c r="D43" t="str">
        <f>RTD("rtdtrading.rtdserver",, "INDM24_F_0", "DAT")</f>
        <v>30/12/1899</v>
      </c>
      <c r="E43" t="str">
        <f>RTD("rtdtrading.rtdserver",, "INDM24_F_0", "HOR")</f>
        <v>00:00:00</v>
      </c>
      <c r="F43">
        <f>RTD("rtdtrading.rtdserver",, "INDM24_F_0", "ULT")</f>
        <v>0</v>
      </c>
      <c r="G43">
        <f>RTD("rtdtrading.rtdserver",, "INDM24_F_0", "ABE")</f>
        <v>0</v>
      </c>
      <c r="H43">
        <f>RTD("rtdtrading.rtdserver",, "INDM24_F_0", "MAX")</f>
        <v>0</v>
      </c>
      <c r="I43">
        <f>RTD("rtdtrading.rtdserver",, "INDM24_F_0", "MIN")</f>
        <v>0</v>
      </c>
      <c r="J43">
        <f>RTD("rtdtrading.rtdserver",, "INDM24_F_0", "FEC")</f>
        <v>0</v>
      </c>
      <c r="K43">
        <f>RTD("rtdtrading.rtdserver",, "INDM24_F_0", "PEX")</f>
        <v>0</v>
      </c>
      <c r="L43">
        <f>RTD("rtdtrading.rtdserver",, "INDM24_F_0", "VAR")</f>
        <v>0</v>
      </c>
      <c r="M43">
        <f>RTD("rtdtrading.rtdserver",, "INDM24_F_0", "VARPTS")</f>
        <v>0</v>
      </c>
      <c r="N43">
        <f>RTD("rtdtrading.rtdserver",, "INDM24_F_0", "MED")</f>
        <v>0</v>
      </c>
      <c r="O43" t="s">
        <v>181</v>
      </c>
      <c r="P43">
        <f>RTD("rtdtrading.rtdserver",, "INDM24_F_0", "NEG")</f>
        <v>0</v>
      </c>
      <c r="Q43">
        <f>RTD("rtdtrading.rtdserver",, "INDM24_F_0", "QUL")</f>
        <v>0</v>
      </c>
      <c r="R43">
        <f>RTD("rtdtrading.rtdserver",, "INDM24_F_0", "QTT")</f>
        <v>0</v>
      </c>
      <c r="S43">
        <f>RTD("rtdtrading.rtdserver",, "INDM24_F_0", "VOL")</f>
        <v>0</v>
      </c>
      <c r="T43">
        <f>RTD("rtdtrading.rtdserver",, "INDM24_F_0", "OCP")</f>
        <v>0</v>
      </c>
      <c r="U43">
        <f>RTD("rtdtrading.rtdserver",, "INDM24_F_0", "OVD")</f>
        <v>0</v>
      </c>
      <c r="V43">
        <f>RTD("rtdtrading.rtdserver",, "INDM24_F_0", "VOC")</f>
        <v>0</v>
      </c>
      <c r="W43">
        <f>RTD("rtdtrading.rtdserver",, "INDM24_F_0", "VOV")</f>
        <v>0</v>
      </c>
      <c r="X43">
        <f>RTD("rtdtrading.rtdserver",, "INDM24_F_0", "AJU")</f>
        <v>0</v>
      </c>
      <c r="Y43">
        <f>RTD("rtdtrading.rtdserver",, "INDM24_F_0", "AJA")</f>
        <v>0</v>
      </c>
      <c r="Z43">
        <f>RTD("rtdtrading.rtdserver",, "INDM24_F_0", "PRT")</f>
        <v>0</v>
      </c>
      <c r="AA43">
        <f>RTD("rtdtrading.rtdserver",, "INDM24_F_0", "QTE")</f>
        <v>0</v>
      </c>
      <c r="AB43">
        <f>RTD("rtdtrading.rtdserver",, "INDM24_F_0", "VPJ")</f>
        <v>0</v>
      </c>
      <c r="AC43">
        <f>RTD("rtdtrading.rtdserver",, "INDM24_F_0", "SEM")</f>
        <v>0</v>
      </c>
      <c r="AD43">
        <f>RTD("rtdtrading.rtdserver",, "INDM24_F_0", "MES")</f>
        <v>0</v>
      </c>
      <c r="AE43">
        <f>RTD("rtdtrading.rtdserver",, "INDM24_F_0", "3M")</f>
        <v>0</v>
      </c>
      <c r="AF43">
        <f>RTD("rtdtrading.rtdserver",, "INDM24_F_0", "6M")</f>
        <v>0</v>
      </c>
      <c r="AG43">
        <f>RTD("rtdtrading.rtdserver",, "INDM24_F_0", "12M")</f>
        <v>0</v>
      </c>
      <c r="AH43">
        <f>RTD("rtdtrading.rtdserver",, "INDM24_F_0", "ANO")</f>
        <v>0</v>
      </c>
      <c r="AI43">
        <f>RTD("rtdtrading.rtdserver",, "INDM24_F_0", "TRIM")</f>
        <v>0</v>
      </c>
      <c r="AJ43">
        <f>RTD("rtdtrading.rtdserver",, "INDM24_F_0", "SEMES")</f>
        <v>0</v>
      </c>
      <c r="AK43" t="str">
        <f>RTD("rtdtrading.rtdserver",, "INDM24_F_0", "VEN")</f>
        <v>29/12/2024</v>
      </c>
      <c r="AL43" t="str">
        <f>RTD("rtdtrading.rtdserver",, "INDM24_F_0", "VAL")</f>
        <v>29/12/2024</v>
      </c>
      <c r="AM43">
        <f>RTD("rtdtrading.rtdserver",, "INDM24_F_0", "CAB")</f>
        <v>0</v>
      </c>
      <c r="AN43" t="str">
        <f>RTD("rtdtrading.rtdserver",, "INDM24_F_0", "EST")</f>
        <v>NONE</v>
      </c>
      <c r="AO43" t="str">
        <f>RTD("rtdtrading.rtdserver",, "INDM24_F_0", "BLACK")</f>
        <v>-</v>
      </c>
      <c r="AP43" t="str">
        <f>RTD("rtdtrading.rtdserver",, "INDM24_F_0", "IMPVT")</f>
        <v>-</v>
      </c>
      <c r="AQ43" t="str">
        <f>RTD("rtdtrading.rtdserver",, "INDM24_F_0", "DELTA")</f>
        <v>-</v>
      </c>
      <c r="AR43" t="str">
        <f>RTD("rtdtrading.rtdserver",, "INDM24_F_0", "GAMA")</f>
        <v>-</v>
      </c>
      <c r="AS43" t="str">
        <f>RTD("rtdtrading.rtdserver",, "INDM24_F_0", "THETA")</f>
        <v>-</v>
      </c>
      <c r="AT43" t="str">
        <f>RTD("rtdtrading.rtdserver",, "INDM24_F_0", "RHO")</f>
        <v>-</v>
      </c>
      <c r="AU43" t="str">
        <f>RTD("rtdtrading.rtdserver",, "INDM24_F_0", "VEGA")</f>
        <v>-</v>
      </c>
      <c r="AV43" t="str">
        <f>RTD("rtdtrading.rtdserver",, "INDM24_F_0", "VIA")</f>
        <v>-</v>
      </c>
      <c r="AW43" t="str">
        <f>RTD("rtdtrading.rtdserver",, "INDM24_F_0", "VIB")</f>
        <v>-</v>
      </c>
      <c r="AX43" t="str">
        <f>RTD("rtdtrading.rtdserver",, "INDM24_F_0", "DOBRAR")</f>
        <v>-</v>
      </c>
      <c r="AY43" t="str">
        <f>RTD("rtdtrading.rtdserver",, "INDM24_F_0", "VIVH")</f>
        <v>-</v>
      </c>
      <c r="AZ43" t="str">
        <f>RTD("rtdtrading.rtdserver",, "INDM24_F_0", "VINT")</f>
        <v>-</v>
      </c>
      <c r="BA43" t="str">
        <f>RTD("rtdtrading.rtdserver",, "INDM24_F_0", "VEXT")</f>
        <v>-</v>
      </c>
    </row>
    <row r="44" spans="3:53" x14ac:dyDescent="0.25">
      <c r="C44" t="s">
        <v>279</v>
      </c>
      <c r="D44" t="str">
        <f>RTD("rtdtrading.rtdserver",, "DOLPRO_#_0", "DAT")</f>
        <v>15/10/2025</v>
      </c>
      <c r="E44" t="str">
        <f>RTD("rtdtrading.rtdserver",, "DOLPRO_#_0", "HOR")</f>
        <v>09:23:33</v>
      </c>
      <c r="F44">
        <f>RTD("rtdtrading.rtdserver",, "DOLPRO_#_0", "ULT")</f>
        <v>5489.5</v>
      </c>
      <c r="G44">
        <f>RTD("rtdtrading.rtdserver",, "DOLPRO_#_0", "ABE")</f>
        <v>5482.5</v>
      </c>
      <c r="H44">
        <f>RTD("rtdtrading.rtdserver",, "DOLPRO_#_0", "MAX")</f>
        <v>5493.5</v>
      </c>
      <c r="I44">
        <f>RTD("rtdtrading.rtdserver",, "DOLPRO_#_0", "MIN")</f>
        <v>5478.5</v>
      </c>
      <c r="J44">
        <f>RTD("rtdtrading.rtdserver",, "DOLPRO_#_0", "FEC")</f>
        <v>5500.5</v>
      </c>
      <c r="K44">
        <f>RTD("rtdtrading.rtdserver",, "DOLPRO_#_0", "PEX")</f>
        <v>0</v>
      </c>
      <c r="L44">
        <f>RTD("rtdtrading.rtdserver",, "DOLPRO_#_0", "VAR")</f>
        <v>-0.19998181983456051</v>
      </c>
      <c r="M44">
        <f>RTD("rtdtrading.rtdserver",, "DOLPRO_#_0", "VARPTS")</f>
        <v>-11</v>
      </c>
      <c r="N44">
        <f>RTD("rtdtrading.rtdserver",, "DOLPRO_#_0", "MED")</f>
        <v>5486.1122941157728</v>
      </c>
      <c r="O44" t="s">
        <v>280</v>
      </c>
      <c r="P44">
        <f>RTD("rtdtrading.rtdserver",, "DOLPRO_#_0", "NEG")</f>
        <v>74215</v>
      </c>
      <c r="Q44">
        <f>RTD("rtdtrading.rtdserver",, "DOLPRO_#_0", "QUL")</f>
        <v>1</v>
      </c>
      <c r="R44">
        <f>RTD("rtdtrading.rtdserver",, "DOLPRO_#_0", "QTT")</f>
        <v>313890</v>
      </c>
      <c r="S44">
        <f>RTD("rtdtrading.rtdserver",, "DOLPRO_#_0", "VOL")</f>
        <v>17220357880</v>
      </c>
      <c r="T44">
        <f>RTD("rtdtrading.rtdserver",, "DOLPRO_#_0", "OCP")</f>
        <v>5489</v>
      </c>
      <c r="U44">
        <f>RTD("rtdtrading.rtdserver",, "DOLPRO_#_0", "OVD")</f>
        <v>5489.5</v>
      </c>
      <c r="V44">
        <f>RTD("rtdtrading.rtdserver",, "DOLPRO_#_0", "VOC")</f>
        <v>607</v>
      </c>
      <c r="W44">
        <f>RTD("rtdtrading.rtdserver",, "DOLPRO_#_0", "VOV")</f>
        <v>105</v>
      </c>
      <c r="X44">
        <f>RTD("rtdtrading.rtdserver",, "DOLPRO_#_0", "AJU")</f>
        <v>0</v>
      </c>
      <c r="Y44">
        <f>RTD("rtdtrading.rtdserver",, "DOLPRO_#_0", "AJA")</f>
        <v>5489.06</v>
      </c>
      <c r="Z44">
        <f>RTD("rtdtrading.rtdserver",, "DOLPRO_#_0", "PRT")</f>
        <v>0</v>
      </c>
      <c r="AA44">
        <f>RTD("rtdtrading.rtdserver",, "DOLPRO_#_0", "QTE")</f>
        <v>0</v>
      </c>
      <c r="AB44">
        <f>RTD("rtdtrading.rtdserver",, "DOLPRO_#_0", "VPJ")</f>
        <v>441161621529.87927</v>
      </c>
      <c r="AC44">
        <f>RTD("rtdtrading.rtdserver",, "DOLPRO_#_0", "SEM")</f>
        <v>-1.259106034715352</v>
      </c>
      <c r="AD44">
        <f>RTD("rtdtrading.rtdserver",, "DOLPRO_#_0", "MES")</f>
        <v>2.3969408692408134</v>
      </c>
      <c r="AE44">
        <f>RTD("rtdtrading.rtdserver",, "DOLPRO_#_0", "3M")</f>
        <v>-1.515966989594546</v>
      </c>
      <c r="AF44">
        <f>RTD("rtdtrading.rtdserver",, "DOLPRO_#_0", "6M")</f>
        <v>-8.4604032004490897</v>
      </c>
      <c r="AG44">
        <f>RTD("rtdtrading.rtdserver",, "DOLPRO_#_0", "12M")</f>
        <v>-7.0409137332059197</v>
      </c>
      <c r="AH44">
        <f>RTD("rtdtrading.rtdserver",, "DOLPRO_#_0", "ANO")</f>
        <v>-14.837528714312439</v>
      </c>
      <c r="AI44">
        <f>RTD("rtdtrading.rtdserver",, "DOLPRO_#_0", "TRIM")</f>
        <v>2.3969408692408134</v>
      </c>
      <c r="AJ44">
        <f>RTD("rtdtrading.rtdserver",, "DOLPRO_#_0", "SEMES")</f>
        <v>0.29231752991687221</v>
      </c>
      <c r="AK44" t="str">
        <f>RTD("rtdtrading.rtdserver",, "DOLPRO_#_0", "VEN")</f>
        <v>15/11/2025</v>
      </c>
      <c r="AL44" t="str">
        <f>RTD("rtdtrading.rtdserver",, "DOLPRO_#_0", "VAL")</f>
        <v>30/12/1899</v>
      </c>
      <c r="AM44">
        <f>RTD("rtdtrading.rtdserver",, "DOLPRO_#_0", "CAB")</f>
        <v>2042854</v>
      </c>
      <c r="AN44" t="str">
        <f>RTD("rtdtrading.rtdserver",, "DOLPRO_#_0", "EST")</f>
        <v>Aberto</v>
      </c>
      <c r="AO44" t="str">
        <f>RTD("rtdtrading.rtdserver",, "DOLPRO_#_0", "BLACK")</f>
        <v>-</v>
      </c>
      <c r="AP44" t="str">
        <f>RTD("rtdtrading.rtdserver",, "DOLPRO_#_0", "IMPVT")</f>
        <v>-</v>
      </c>
      <c r="AQ44" t="str">
        <f>RTD("rtdtrading.rtdserver",, "DOLPRO_#_0", "DELTA")</f>
        <v>-</v>
      </c>
      <c r="AR44" t="str">
        <f>RTD("rtdtrading.rtdserver",, "DOLPRO_#_0", "GAMA")</f>
        <v>-</v>
      </c>
      <c r="AS44" t="str">
        <f>RTD("rtdtrading.rtdserver",, "DOLPRO_#_0", "THETA")</f>
        <v>-</v>
      </c>
      <c r="AT44" t="str">
        <f>RTD("rtdtrading.rtdserver",, "DOLPRO_#_0", "RHO")</f>
        <v>-</v>
      </c>
      <c r="AU44" t="str">
        <f>RTD("rtdtrading.rtdserver",, "DOLPRO_#_0", "VEGA")</f>
        <v>-</v>
      </c>
      <c r="AV44" t="str">
        <f>RTD("rtdtrading.rtdserver",, "DOLPRO_#_0", "VIA")</f>
        <v>-</v>
      </c>
      <c r="AW44" t="str">
        <f>RTD("rtdtrading.rtdserver",, "DOLPRO_#_0", "VIB")</f>
        <v>-</v>
      </c>
      <c r="AX44" t="str">
        <f>RTD("rtdtrading.rtdserver",, "DOLPRO_#_0", "DOBRAR")</f>
        <v>-</v>
      </c>
      <c r="AY44" t="str">
        <f>RTD("rtdtrading.rtdserver",, "DOLPRO_#_0", "VIVH")</f>
        <v>-</v>
      </c>
      <c r="AZ44" t="str">
        <f>RTD("rtdtrading.rtdserver",, "DOLPRO_#_0", "VINT")</f>
        <v>-</v>
      </c>
      <c r="BA44" t="str">
        <f>RTD("rtdtrading.rtdserver",, "DOLPRO_#_0", "VEXT")</f>
        <v>-</v>
      </c>
    </row>
    <row r="45" spans="3:53" x14ac:dyDescent="0.25">
      <c r="C45" t="s">
        <v>282</v>
      </c>
      <c r="D45" t="str">
        <f>RTD("rtdtrading.rtdserver",, "WDOFUTV_F_0", "DAT")</f>
        <v>15/10/2025</v>
      </c>
      <c r="E45" t="str">
        <f>RTD("rtdtrading.rtdserver",, "WDOFUTV_F_0", "HOR")</f>
        <v>09:23:34</v>
      </c>
      <c r="F45">
        <f>RTD("rtdtrading.rtdserver",, "WDOFUTV_F_0", "ULT")</f>
        <v>5489.5</v>
      </c>
      <c r="G45">
        <f>RTD("rtdtrading.rtdserver",, "WDOFUTV_F_0", "ABE")</f>
        <v>5482.5</v>
      </c>
      <c r="H45">
        <f>RTD("rtdtrading.rtdserver",, "WDOFUTV_F_0", "MAX")</f>
        <v>5493.5</v>
      </c>
      <c r="I45">
        <f>RTD("rtdtrading.rtdserver",, "WDOFUTV_F_0", "MIN")</f>
        <v>5478.5</v>
      </c>
      <c r="J45">
        <f>RTD("rtdtrading.rtdserver",, "WDOFUTV_F_0", "FEC")</f>
        <v>5500.5</v>
      </c>
      <c r="K45">
        <f>RTD("rtdtrading.rtdserver",, "WDOFUTV_F_0", "PEX")</f>
        <v>0</v>
      </c>
      <c r="L45">
        <f>RTD("rtdtrading.rtdserver",, "WDOFUTV_F_0", "VAR")</f>
        <v>-0.19998181983456051</v>
      </c>
      <c r="M45">
        <f>RTD("rtdtrading.rtdserver",, "WDOFUTV_F_0", "VARPTS")</f>
        <v>-11</v>
      </c>
      <c r="N45">
        <f>RTD("rtdtrading.rtdserver",, "WDOFUTV_F_0", "MED")</f>
        <v>5486.0743684321224</v>
      </c>
      <c r="O45" t="s">
        <v>253</v>
      </c>
      <c r="P45">
        <f>RTD("rtdtrading.rtdserver",, "WDOFUTV_F_0", "NEG")</f>
        <v>72872</v>
      </c>
      <c r="Q45">
        <f>RTD("rtdtrading.rtdserver",, "WDOFUTV_F_0", "QUL")</f>
        <v>3</v>
      </c>
      <c r="R45">
        <f>RTD("rtdtrading.rtdserver",, "WDOFUTV_F_0", "QTT")</f>
        <v>256742</v>
      </c>
      <c r="S45">
        <f>RTD("rtdtrading.rtdserver",, "WDOFUTV_F_0", "VOL")</f>
        <v>14085057055</v>
      </c>
      <c r="T45">
        <f>RTD("rtdtrading.rtdserver",, "WDOFUTV_F_0", "OCP")</f>
        <v>5489</v>
      </c>
      <c r="U45">
        <f>RTD("rtdtrading.rtdserver",, "WDOFUTV_F_0", "OVD")</f>
        <v>5489.5</v>
      </c>
      <c r="V45">
        <f>RTD("rtdtrading.rtdserver",, "WDOFUTV_F_0", "VOC")</f>
        <v>458</v>
      </c>
      <c r="W45">
        <f>RTD("rtdtrading.rtdserver",, "WDOFUTV_F_0", "VOV")</f>
        <v>105</v>
      </c>
      <c r="X45">
        <f>RTD("rtdtrading.rtdserver",, "WDOFUTV_F_0", "AJU")</f>
        <v>0</v>
      </c>
      <c r="Y45">
        <f>RTD("rtdtrading.rtdserver",, "WDOFUTV_F_0", "AJA")</f>
        <v>5489.0649999999996</v>
      </c>
      <c r="Z45">
        <f>RTD("rtdtrading.rtdserver",, "WDOFUTV_F_0", "PRT")</f>
        <v>0</v>
      </c>
      <c r="AA45">
        <f>RTD("rtdtrading.rtdserver",, "WDOFUTV_F_0", "QTE")</f>
        <v>0</v>
      </c>
      <c r="AB45">
        <f>RTD("rtdtrading.rtdserver",, "WDOFUTV_F_0", "VPJ")</f>
        <v>360584383828.16949</v>
      </c>
      <c r="AC45">
        <f>RTD("rtdtrading.rtdserver",, "WDOFUTV_F_0", "SEM")</f>
        <v>-1.2591060347153682</v>
      </c>
      <c r="AD45">
        <f>RTD("rtdtrading.rtdserver",, "WDOFUTV_F_0", "MES")</f>
        <v>2.3969408692408134</v>
      </c>
      <c r="AE45">
        <f>RTD("rtdtrading.rtdserver",, "WDOFUTV_F_0", "3M")</f>
        <v>-3.7179534582847582</v>
      </c>
      <c r="AF45">
        <f>RTD("rtdtrading.rtdserver",, "WDOFUTV_F_0", "6M")</f>
        <v>-10.507119675828378</v>
      </c>
      <c r="AG45">
        <f>RTD("rtdtrading.rtdserver",, "WDOFUTV_F_0", "12M")</f>
        <v>-9.1193689532407944</v>
      </c>
      <c r="AH45">
        <f>RTD("rtdtrading.rtdserver",, "WDOFUTV_F_0", "ANO")</f>
        <v>-16.741660471532864</v>
      </c>
      <c r="AI45">
        <f>RTD("rtdtrading.rtdserver",, "WDOFUTV_F_0", "TRIM")</f>
        <v>2.3969408692408134</v>
      </c>
      <c r="AJ45">
        <f>RTD("rtdtrading.rtdserver",, "WDOFUTV_F_0", "SEMES")</f>
        <v>-1.9501000723409854</v>
      </c>
      <c r="AK45" t="str">
        <f>RTD("rtdtrading.rtdserver",, "WDOFUTV_F_0", "VEN")</f>
        <v>03/11/2025</v>
      </c>
      <c r="AL45" t="str">
        <f>RTD("rtdtrading.rtdserver",, "WDOFUTV_F_0", "VAL")</f>
        <v>31/10/2025</v>
      </c>
      <c r="AM45">
        <f>RTD("rtdtrading.rtdserver",, "WDOFUTV_F_0", "CAB")</f>
        <v>1117125</v>
      </c>
      <c r="AN45" t="str">
        <f>RTD("rtdtrading.rtdserver",, "WDOFUTV_F_0", "EST")</f>
        <v>Aberto</v>
      </c>
      <c r="AO45" t="str">
        <f>RTD("rtdtrading.rtdserver",, "WDOFUTV_F_0", "BLACK")</f>
        <v>-</v>
      </c>
      <c r="AP45" t="str">
        <f>RTD("rtdtrading.rtdserver",, "WDOFUTV_F_0", "IMPVT")</f>
        <v>-</v>
      </c>
      <c r="AQ45" t="str">
        <f>RTD("rtdtrading.rtdserver",, "WDOFUTV_F_0", "DELTA")</f>
        <v>-</v>
      </c>
      <c r="AR45" t="str">
        <f>RTD("rtdtrading.rtdserver",, "WDOFUTV_F_0", "GAMA")</f>
        <v>-</v>
      </c>
      <c r="AS45" t="str">
        <f>RTD("rtdtrading.rtdserver",, "WDOFUTV_F_0", "THETA")</f>
        <v>-</v>
      </c>
      <c r="AT45" t="str">
        <f>RTD("rtdtrading.rtdserver",, "WDOFUTV_F_0", "RHO")</f>
        <v>-</v>
      </c>
      <c r="AU45" t="str">
        <f>RTD("rtdtrading.rtdserver",, "WDOFUTV_F_0", "VEGA")</f>
        <v>-</v>
      </c>
      <c r="AV45" t="str">
        <f>RTD("rtdtrading.rtdserver",, "WDOFUTV_F_0", "VIA")</f>
        <v>-</v>
      </c>
      <c r="AW45" t="str">
        <f>RTD("rtdtrading.rtdserver",, "WDOFUTV_F_0", "VIB")</f>
        <v>-</v>
      </c>
      <c r="AX45" t="str">
        <f>RTD("rtdtrading.rtdserver",, "WDOFUTV_F_0", "DOBRAR")</f>
        <v>-</v>
      </c>
      <c r="AY45" t="str">
        <f>RTD("rtdtrading.rtdserver",, "WDOFUTV_F_0", "VIVH")</f>
        <v>-</v>
      </c>
      <c r="AZ45" t="str">
        <f>RTD("rtdtrading.rtdserver",, "WDOFUTV_F_0", "VINT")</f>
        <v>-</v>
      </c>
      <c r="BA45" t="str">
        <f>RTD("rtdtrading.rtdserver",, "WDOFUTV_F_0", "VEXT")</f>
        <v>-</v>
      </c>
    </row>
    <row r="46" spans="3:53" x14ac:dyDescent="0.25">
      <c r="C46" t="s">
        <v>285</v>
      </c>
      <c r="D46" t="str">
        <f>RTD("rtdtrading.rtdserver",, "IFIX_B_0", "DAT")</f>
        <v>14/10/2025</v>
      </c>
      <c r="E46" t="str">
        <f>RTD("rtdtrading.rtdserver",, "IFIX_B_0", "HOR")</f>
        <v>17:22:00</v>
      </c>
      <c r="F46">
        <f>RTD("rtdtrading.rtdserver",, "IFIX_B_0", "ULT")</f>
        <v>3575.46</v>
      </c>
      <c r="G46">
        <f>RTD("rtdtrading.rtdserver",, "IFIX_B_0", "ABE")</f>
        <v>3569.94</v>
      </c>
      <c r="H46">
        <f>RTD("rtdtrading.rtdserver",, "IFIX_B_0", "MAX")</f>
        <v>3579.52</v>
      </c>
      <c r="I46">
        <f>RTD("rtdtrading.rtdserver",, "IFIX_B_0", "MIN")</f>
        <v>3569.94</v>
      </c>
      <c r="J46">
        <f>RTD("rtdtrading.rtdserver",, "IFIX_B_0", "FEC")</f>
        <v>3569.96</v>
      </c>
      <c r="K46">
        <f>RTD("rtdtrading.rtdserver",, "IFIX_B_0", "PEX")</f>
        <v>0</v>
      </c>
      <c r="L46">
        <f>RTD("rtdtrading.rtdserver",, "IFIX_B_0", "VAR")</f>
        <v>0.15406335084986947</v>
      </c>
      <c r="M46">
        <f>RTD("rtdtrading.rtdserver",, "IFIX_B_0", "VARPTS")</f>
        <v>5.5</v>
      </c>
      <c r="N46">
        <f>RTD("rtdtrading.rtdserver",, "IFIX_B_0", "MED")</f>
        <v>3573.7150000000001</v>
      </c>
      <c r="O46" t="s">
        <v>286</v>
      </c>
      <c r="P46">
        <f>RTD("rtdtrading.rtdserver",, "IFIX_B_0", "NEG")</f>
        <v>431181</v>
      </c>
      <c r="Q46">
        <f>RTD("rtdtrading.rtdserver",, "IFIX_B_0", "QUL")</f>
        <v>0</v>
      </c>
      <c r="R46">
        <f>RTD("rtdtrading.rtdserver",, "IFIX_B_0", "QTT")</f>
        <v>11917927</v>
      </c>
      <c r="S46">
        <f>RTD("rtdtrading.rtdserver",, "IFIX_B_0", "VOL")</f>
        <v>255437590.28</v>
      </c>
      <c r="T46">
        <f>RTD("rtdtrading.rtdserver",, "IFIX_B_0", "OCP")</f>
        <v>0</v>
      </c>
      <c r="U46">
        <f>RTD("rtdtrading.rtdserver",, "IFIX_B_0", "OVD")</f>
        <v>0</v>
      </c>
      <c r="V46">
        <f>RTD("rtdtrading.rtdserver",, "IFIX_B_0", "VOC")</f>
        <v>0</v>
      </c>
      <c r="W46">
        <f>RTD("rtdtrading.rtdserver",, "IFIX_B_0", "VOV")</f>
        <v>0</v>
      </c>
      <c r="X46">
        <f>RTD("rtdtrading.rtdserver",, "IFIX_B_0", "AJU")</f>
        <v>3575</v>
      </c>
      <c r="Y46">
        <f>RTD("rtdtrading.rtdserver",, "IFIX_B_0", "AJA")</f>
        <v>3571</v>
      </c>
      <c r="Z46">
        <f>RTD("rtdtrading.rtdserver",, "IFIX_B_0", "PRT")</f>
        <v>0</v>
      </c>
      <c r="AA46">
        <f>RTD("rtdtrading.rtdserver",, "IFIX_B_0", "QTE")</f>
        <v>0</v>
      </c>
      <c r="AB46">
        <f>RTD("rtdtrading.rtdserver",, "IFIX_B_0", "VPJ")</f>
        <v>255437590.28</v>
      </c>
      <c r="AC46">
        <f>RTD("rtdtrading.rtdserver",, "IFIX_B_0", "SEM")</f>
        <v>-5.3670563373196943E-2</v>
      </c>
      <c r="AD46">
        <f>RTD("rtdtrading.rtdserver",, "IFIX_B_0", "MES")</f>
        <v>-0.38947579566729124</v>
      </c>
      <c r="AE46">
        <f>RTD("rtdtrading.rtdserver",, "IFIX_B_0", "3M")</f>
        <v>2.6295621223646157</v>
      </c>
      <c r="AF46">
        <f>RTD("rtdtrading.rtdserver",, "IFIX_B_0", "6M")</f>
        <v>9.7551317352586349</v>
      </c>
      <c r="AG46">
        <f>RTD("rtdtrading.rtdserver",, "IFIX_B_0", "12M")</f>
        <v>11.149244126945641</v>
      </c>
      <c r="AH46">
        <f>RTD("rtdtrading.rtdserver",, "IFIX_B_0", "ANO")</f>
        <v>14.734876198544411</v>
      </c>
      <c r="AI46">
        <f>RTD("rtdtrading.rtdserver",, "IFIX_B_0", "TRIM")</f>
        <v>-0.38947579566729124</v>
      </c>
      <c r="AJ46">
        <f>RTD("rtdtrading.rtdserver",, "IFIX_B_0", "SEMES")</f>
        <v>2.6319188695005713</v>
      </c>
      <c r="AK46" t="str">
        <f>RTD("rtdtrading.rtdserver",, "IFIX_B_0", "VEN")</f>
        <v>01/01/9999</v>
      </c>
      <c r="AL46" t="str">
        <f>RTD("rtdtrading.rtdserver",, "IFIX_B_0", "VAL")</f>
        <v>31/12/9999</v>
      </c>
      <c r="AM46">
        <f>RTD("rtdtrading.rtdserver",, "IFIX_B_0", "CAB")</f>
        <v>0</v>
      </c>
      <c r="AN46" t="str">
        <f>RTD("rtdtrading.rtdserver",, "IFIX_B_0", "EST")</f>
        <v>Fechado</v>
      </c>
      <c r="AO46" t="str">
        <f>RTD("rtdtrading.rtdserver",, "IFIX_B_0", "BLACK")</f>
        <v>-</v>
      </c>
      <c r="AP46" t="str">
        <f>RTD("rtdtrading.rtdserver",, "IFIX_B_0", "IMPVT")</f>
        <v>-</v>
      </c>
      <c r="AQ46" t="str">
        <f>RTD("rtdtrading.rtdserver",, "IFIX_B_0", "DELTA")</f>
        <v>-</v>
      </c>
      <c r="AR46" t="str">
        <f>RTD("rtdtrading.rtdserver",, "IFIX_B_0", "GAMA")</f>
        <v>-</v>
      </c>
      <c r="AS46" t="str">
        <f>RTD("rtdtrading.rtdserver",, "IFIX_B_0", "THETA")</f>
        <v>-</v>
      </c>
      <c r="AT46" t="str">
        <f>RTD("rtdtrading.rtdserver",, "IFIX_B_0", "RHO")</f>
        <v>-</v>
      </c>
      <c r="AU46" t="str">
        <f>RTD("rtdtrading.rtdserver",, "IFIX_B_0", "VEGA")</f>
        <v>-</v>
      </c>
      <c r="AV46" t="str">
        <f>RTD("rtdtrading.rtdserver",, "IFIX_B_0", "VIA")</f>
        <v>-</v>
      </c>
      <c r="AW46" t="str">
        <f>RTD("rtdtrading.rtdserver",, "IFIX_B_0", "VIB")</f>
        <v>-</v>
      </c>
      <c r="AX46" t="str">
        <f>RTD("rtdtrading.rtdserver",, "IFIX_B_0", "DOBRAR")</f>
        <v>-</v>
      </c>
      <c r="AY46" t="str">
        <f>RTD("rtdtrading.rtdserver",, "IFIX_B_0", "VIVH")</f>
        <v>-</v>
      </c>
      <c r="AZ46" t="str">
        <f>RTD("rtdtrading.rtdserver",, "IFIX_B_0", "VINT")</f>
        <v>-</v>
      </c>
      <c r="BA46" t="str">
        <f>RTD("rtdtrading.rtdserver",, "IFIX_B_0", "VEXT")</f>
        <v>-</v>
      </c>
    </row>
    <row r="47" spans="3:53" x14ac:dyDescent="0.25">
      <c r="C47" t="s">
        <v>288</v>
      </c>
      <c r="D47" t="str">
        <f>RTD("rtdtrading.rtdserver",, "WDOM24_F_0", "DAT")</f>
        <v>30/12/1899</v>
      </c>
      <c r="E47" t="str">
        <f>RTD("rtdtrading.rtdserver",, "WDOM24_F_0", "HOR")</f>
        <v>00:00:00</v>
      </c>
      <c r="F47">
        <f>RTD("rtdtrading.rtdserver",, "WDOM24_F_0", "ULT")</f>
        <v>0</v>
      </c>
      <c r="G47">
        <f>RTD("rtdtrading.rtdserver",, "WDOM24_F_0", "ABE")</f>
        <v>0</v>
      </c>
      <c r="H47">
        <f>RTD("rtdtrading.rtdserver",, "WDOM24_F_0", "MAX")</f>
        <v>0</v>
      </c>
      <c r="I47">
        <f>RTD("rtdtrading.rtdserver",, "WDOM24_F_0", "MIN")</f>
        <v>0</v>
      </c>
      <c r="J47">
        <f>RTD("rtdtrading.rtdserver",, "WDOM24_F_0", "FEC")</f>
        <v>0</v>
      </c>
      <c r="K47">
        <f>RTD("rtdtrading.rtdserver",, "WDOM24_F_0", "PEX")</f>
        <v>0</v>
      </c>
      <c r="L47">
        <f>RTD("rtdtrading.rtdserver",, "WDOM24_F_0", "VAR")</f>
        <v>0</v>
      </c>
      <c r="M47">
        <f>RTD("rtdtrading.rtdserver",, "WDOM24_F_0", "VARPTS")</f>
        <v>0</v>
      </c>
      <c r="N47">
        <f>RTD("rtdtrading.rtdserver",, "WDOM24_F_0", "MED")</f>
        <v>0</v>
      </c>
      <c r="O47" t="s">
        <v>253</v>
      </c>
      <c r="P47">
        <f>RTD("rtdtrading.rtdserver",, "WDOM24_F_0", "NEG")</f>
        <v>0</v>
      </c>
      <c r="Q47">
        <f>RTD("rtdtrading.rtdserver",, "WDOM24_F_0", "QUL")</f>
        <v>0</v>
      </c>
      <c r="R47">
        <f>RTD("rtdtrading.rtdserver",, "WDOM24_F_0", "QTT")</f>
        <v>0</v>
      </c>
      <c r="S47">
        <f>RTD("rtdtrading.rtdserver",, "WDOM24_F_0", "VOL")</f>
        <v>0</v>
      </c>
      <c r="T47">
        <f>RTD("rtdtrading.rtdserver",, "WDOM24_F_0", "OCP")</f>
        <v>0</v>
      </c>
      <c r="U47">
        <f>RTD("rtdtrading.rtdserver",, "WDOM24_F_0", "OVD")</f>
        <v>0</v>
      </c>
      <c r="V47">
        <f>RTD("rtdtrading.rtdserver",, "WDOM24_F_0", "VOC")</f>
        <v>0</v>
      </c>
      <c r="W47">
        <f>RTD("rtdtrading.rtdserver",, "WDOM24_F_0", "VOV")</f>
        <v>0</v>
      </c>
      <c r="X47">
        <f>RTD("rtdtrading.rtdserver",, "WDOM24_F_0", "AJU")</f>
        <v>0</v>
      </c>
      <c r="Y47">
        <f>RTD("rtdtrading.rtdserver",, "WDOM24_F_0", "AJA")</f>
        <v>0</v>
      </c>
      <c r="Z47">
        <f>RTD("rtdtrading.rtdserver",, "WDOM24_F_0", "PRT")</f>
        <v>0</v>
      </c>
      <c r="AA47">
        <f>RTD("rtdtrading.rtdserver",, "WDOM24_F_0", "QTE")</f>
        <v>0</v>
      </c>
      <c r="AB47">
        <f>RTD("rtdtrading.rtdserver",, "WDOM24_F_0", "VPJ")</f>
        <v>0</v>
      </c>
      <c r="AC47">
        <f>RTD("rtdtrading.rtdserver",, "WDOM24_F_0", "SEM")</f>
        <v>0</v>
      </c>
      <c r="AD47">
        <f>RTD("rtdtrading.rtdserver",, "WDOM24_F_0", "MES")</f>
        <v>0</v>
      </c>
      <c r="AE47">
        <f>RTD("rtdtrading.rtdserver",, "WDOM24_F_0", "3M")</f>
        <v>0</v>
      </c>
      <c r="AF47">
        <f>RTD("rtdtrading.rtdserver",, "WDOM24_F_0", "6M")</f>
        <v>0</v>
      </c>
      <c r="AG47">
        <f>RTD("rtdtrading.rtdserver",, "WDOM24_F_0", "12M")</f>
        <v>0</v>
      </c>
      <c r="AH47">
        <f>RTD("rtdtrading.rtdserver",, "WDOM24_F_0", "ANO")</f>
        <v>0</v>
      </c>
      <c r="AI47">
        <f>RTD("rtdtrading.rtdserver",, "WDOM24_F_0", "TRIM")</f>
        <v>0</v>
      </c>
      <c r="AJ47">
        <f>RTD("rtdtrading.rtdserver",, "WDOM24_F_0", "SEMES")</f>
        <v>0</v>
      </c>
      <c r="AK47" t="str">
        <f>RTD("rtdtrading.rtdserver",, "WDOM24_F_0", "VEN")</f>
        <v>29/12/2024</v>
      </c>
      <c r="AL47" t="str">
        <f>RTD("rtdtrading.rtdserver",, "WDOM24_F_0", "VAL")</f>
        <v>29/12/2024</v>
      </c>
      <c r="AM47">
        <f>RTD("rtdtrading.rtdserver",, "WDOM24_F_0", "CAB")</f>
        <v>0</v>
      </c>
      <c r="AN47" t="str">
        <f>RTD("rtdtrading.rtdserver",, "WDOM24_F_0", "EST")</f>
        <v>NONE</v>
      </c>
      <c r="AO47" t="str">
        <f>RTD("rtdtrading.rtdserver",, "WDOM24_F_0", "BLACK")</f>
        <v>-</v>
      </c>
      <c r="AP47" t="str">
        <f>RTD("rtdtrading.rtdserver",, "WDOM24_F_0", "IMPVT")</f>
        <v>-</v>
      </c>
      <c r="AQ47" t="str">
        <f>RTD("rtdtrading.rtdserver",, "WDOM24_F_0", "DELTA")</f>
        <v>-</v>
      </c>
      <c r="AR47" t="str">
        <f>RTD("rtdtrading.rtdserver",, "WDOM24_F_0", "GAMA")</f>
        <v>-</v>
      </c>
      <c r="AS47" t="str">
        <f>RTD("rtdtrading.rtdserver",, "WDOM24_F_0", "THETA")</f>
        <v>-</v>
      </c>
      <c r="AT47" t="str">
        <f>RTD("rtdtrading.rtdserver",, "WDOM24_F_0", "RHO")</f>
        <v>-</v>
      </c>
      <c r="AU47" t="str">
        <f>RTD("rtdtrading.rtdserver",, "WDOM24_F_0", "VEGA")</f>
        <v>-</v>
      </c>
      <c r="AV47" t="str">
        <f>RTD("rtdtrading.rtdserver",, "WDOM24_F_0", "VIA")</f>
        <v>-</v>
      </c>
      <c r="AW47" t="str">
        <f>RTD("rtdtrading.rtdserver",, "WDOM24_F_0", "VIB")</f>
        <v>-</v>
      </c>
      <c r="AX47" t="str">
        <f>RTD("rtdtrading.rtdserver",, "WDOM24_F_0", "DOBRAR")</f>
        <v>-</v>
      </c>
      <c r="AY47" t="str">
        <f>RTD("rtdtrading.rtdserver",, "WDOM24_F_0", "VIVH")</f>
        <v>-</v>
      </c>
      <c r="AZ47" t="str">
        <f>RTD("rtdtrading.rtdserver",, "WDOM24_F_0", "VINT")</f>
        <v>-</v>
      </c>
      <c r="BA47" t="str">
        <f>RTD("rtdtrading.rtdserver",, "WDOM24_F_0", "VEXT")</f>
        <v>-</v>
      </c>
    </row>
    <row r="48" spans="3:53" x14ac:dyDescent="0.25">
      <c r="C48" t="s">
        <v>290</v>
      </c>
      <c r="D48" t="str">
        <f>RTD("rtdtrading.rtdserver",, "WDON24_F_0", "DAT")</f>
        <v>30/12/1899</v>
      </c>
      <c r="E48" t="str">
        <f>RTD("rtdtrading.rtdserver",, "WDON24_F_0", "HOR")</f>
        <v>00:00:00</v>
      </c>
      <c r="F48">
        <f>RTD("rtdtrading.rtdserver",, "WDON24_F_0", "ULT")</f>
        <v>0</v>
      </c>
      <c r="G48">
        <f>RTD("rtdtrading.rtdserver",, "WDON24_F_0", "ABE")</f>
        <v>0</v>
      </c>
      <c r="H48">
        <f>RTD("rtdtrading.rtdserver",, "WDON24_F_0", "MAX")</f>
        <v>0</v>
      </c>
      <c r="I48">
        <f>RTD("rtdtrading.rtdserver",, "WDON24_F_0", "MIN")</f>
        <v>0</v>
      </c>
      <c r="J48">
        <f>RTD("rtdtrading.rtdserver",, "WDON24_F_0", "FEC")</f>
        <v>0</v>
      </c>
      <c r="K48">
        <f>RTD("rtdtrading.rtdserver",, "WDON24_F_0", "PEX")</f>
        <v>0</v>
      </c>
      <c r="L48">
        <f>RTD("rtdtrading.rtdserver",, "WDON24_F_0", "VAR")</f>
        <v>0</v>
      </c>
      <c r="M48">
        <f>RTD("rtdtrading.rtdserver",, "WDON24_F_0", "VARPTS")</f>
        <v>0</v>
      </c>
      <c r="N48">
        <f>RTD("rtdtrading.rtdserver",, "WDON24_F_0", "MED")</f>
        <v>0</v>
      </c>
      <c r="O48" t="s">
        <v>253</v>
      </c>
      <c r="P48">
        <f>RTD("rtdtrading.rtdserver",, "WDON24_F_0", "NEG")</f>
        <v>0</v>
      </c>
      <c r="Q48">
        <f>RTD("rtdtrading.rtdserver",, "WDON24_F_0", "QUL")</f>
        <v>0</v>
      </c>
      <c r="R48">
        <f>RTD("rtdtrading.rtdserver",, "WDON24_F_0", "QTT")</f>
        <v>0</v>
      </c>
      <c r="S48">
        <f>RTD("rtdtrading.rtdserver",, "WDON24_F_0", "VOL")</f>
        <v>0</v>
      </c>
      <c r="T48">
        <f>RTD("rtdtrading.rtdserver",, "WDON24_F_0", "OCP")</f>
        <v>0</v>
      </c>
      <c r="U48">
        <f>RTD("rtdtrading.rtdserver",, "WDON24_F_0", "OVD")</f>
        <v>0</v>
      </c>
      <c r="V48">
        <f>RTD("rtdtrading.rtdserver",, "WDON24_F_0", "VOC")</f>
        <v>0</v>
      </c>
      <c r="W48">
        <f>RTD("rtdtrading.rtdserver",, "WDON24_F_0", "VOV")</f>
        <v>0</v>
      </c>
      <c r="X48">
        <f>RTD("rtdtrading.rtdserver",, "WDON24_F_0", "AJU")</f>
        <v>0</v>
      </c>
      <c r="Y48">
        <f>RTD("rtdtrading.rtdserver",, "WDON24_F_0", "AJA")</f>
        <v>0</v>
      </c>
      <c r="Z48">
        <f>RTD("rtdtrading.rtdserver",, "WDON24_F_0", "PRT")</f>
        <v>0</v>
      </c>
      <c r="AA48">
        <f>RTD("rtdtrading.rtdserver",, "WDON24_F_0", "QTE")</f>
        <v>0</v>
      </c>
      <c r="AB48">
        <f>RTD("rtdtrading.rtdserver",, "WDON24_F_0", "VPJ")</f>
        <v>0</v>
      </c>
      <c r="AC48">
        <f>RTD("rtdtrading.rtdserver",, "WDON24_F_0", "SEM")</f>
        <v>0</v>
      </c>
      <c r="AD48">
        <f>RTD("rtdtrading.rtdserver",, "WDON24_F_0", "MES")</f>
        <v>0</v>
      </c>
      <c r="AE48">
        <f>RTD("rtdtrading.rtdserver",, "WDON24_F_0", "3M")</f>
        <v>0</v>
      </c>
      <c r="AF48">
        <f>RTD("rtdtrading.rtdserver",, "WDON24_F_0", "6M")</f>
        <v>0</v>
      </c>
      <c r="AG48">
        <f>RTD("rtdtrading.rtdserver",, "WDON24_F_0", "12M")</f>
        <v>0</v>
      </c>
      <c r="AH48">
        <f>RTD("rtdtrading.rtdserver",, "WDON24_F_0", "ANO")</f>
        <v>0</v>
      </c>
      <c r="AI48">
        <f>RTD("rtdtrading.rtdserver",, "WDON24_F_0", "TRIM")</f>
        <v>0</v>
      </c>
      <c r="AJ48">
        <f>RTD("rtdtrading.rtdserver",, "WDON24_F_0", "SEMES")</f>
        <v>0</v>
      </c>
      <c r="AK48" t="str">
        <f>RTD("rtdtrading.rtdserver",, "WDON24_F_0", "VEN")</f>
        <v>29/12/2024</v>
      </c>
      <c r="AL48" t="str">
        <f>RTD("rtdtrading.rtdserver",, "WDON24_F_0", "VAL")</f>
        <v>29/12/2024</v>
      </c>
      <c r="AM48">
        <f>RTD("rtdtrading.rtdserver",, "WDON24_F_0", "CAB")</f>
        <v>0</v>
      </c>
      <c r="AN48" t="str">
        <f>RTD("rtdtrading.rtdserver",, "WDON24_F_0", "EST")</f>
        <v>NONE</v>
      </c>
      <c r="AO48" t="str">
        <f>RTD("rtdtrading.rtdserver",, "WDON24_F_0", "BLACK")</f>
        <v>-</v>
      </c>
      <c r="AP48" t="str">
        <f>RTD("rtdtrading.rtdserver",, "WDON24_F_0", "IMPVT")</f>
        <v>-</v>
      </c>
      <c r="AQ48" t="str">
        <f>RTD("rtdtrading.rtdserver",, "WDON24_F_0", "DELTA")</f>
        <v>-</v>
      </c>
      <c r="AR48" t="str">
        <f>RTD("rtdtrading.rtdserver",, "WDON24_F_0", "GAMA")</f>
        <v>-</v>
      </c>
      <c r="AS48" t="str">
        <f>RTD("rtdtrading.rtdserver",, "WDON24_F_0", "THETA")</f>
        <v>-</v>
      </c>
      <c r="AT48" t="str">
        <f>RTD("rtdtrading.rtdserver",, "WDON24_F_0", "RHO")</f>
        <v>-</v>
      </c>
      <c r="AU48" t="str">
        <f>RTD("rtdtrading.rtdserver",, "WDON24_F_0", "VEGA")</f>
        <v>-</v>
      </c>
      <c r="AV48" t="str">
        <f>RTD("rtdtrading.rtdserver",, "WDON24_F_0", "VIA")</f>
        <v>-</v>
      </c>
      <c r="AW48" t="str">
        <f>RTD("rtdtrading.rtdserver",, "WDON24_F_0", "VIB")</f>
        <v>-</v>
      </c>
      <c r="AX48" t="str">
        <f>RTD("rtdtrading.rtdserver",, "WDON24_F_0", "DOBRAR")</f>
        <v>-</v>
      </c>
      <c r="AY48" t="str">
        <f>RTD("rtdtrading.rtdserver",, "WDON24_F_0", "VIVH")</f>
        <v>-</v>
      </c>
      <c r="AZ48" t="str">
        <f>RTD("rtdtrading.rtdserver",, "WDON24_F_0", "VINT")</f>
        <v>-</v>
      </c>
      <c r="BA48" t="str">
        <f>RTD("rtdtrading.rtdserver",, "WDON24_F_0", "VEXT")</f>
        <v>-</v>
      </c>
    </row>
    <row r="49" spans="3:53" x14ac:dyDescent="0.25">
      <c r="C49" t="s">
        <v>292</v>
      </c>
      <c r="D49" t="str">
        <f>RTD("rtdtrading.rtdserver",, "WDOJ24_F_0", "DAT")</f>
        <v>30/12/1899</v>
      </c>
      <c r="E49" t="str">
        <f>RTD("rtdtrading.rtdserver",, "WDOJ24_F_0", "HOR")</f>
        <v>00:00:00</v>
      </c>
      <c r="F49">
        <f>RTD("rtdtrading.rtdserver",, "WDOJ24_F_0", "ULT")</f>
        <v>0</v>
      </c>
      <c r="G49">
        <f>RTD("rtdtrading.rtdserver",, "WDOJ24_F_0", "ABE")</f>
        <v>0</v>
      </c>
      <c r="H49">
        <f>RTD("rtdtrading.rtdserver",, "WDOJ24_F_0", "MAX")</f>
        <v>0</v>
      </c>
      <c r="I49">
        <f>RTD("rtdtrading.rtdserver",, "WDOJ24_F_0", "MIN")</f>
        <v>0</v>
      </c>
      <c r="J49">
        <f>RTD("rtdtrading.rtdserver",, "WDOJ24_F_0", "FEC")</f>
        <v>0</v>
      </c>
      <c r="K49">
        <f>RTD("rtdtrading.rtdserver",, "WDOJ24_F_0", "PEX")</f>
        <v>0</v>
      </c>
      <c r="L49">
        <f>RTD("rtdtrading.rtdserver",, "WDOJ24_F_0", "VAR")</f>
        <v>0</v>
      </c>
      <c r="M49">
        <f>RTD("rtdtrading.rtdserver",, "WDOJ24_F_0", "VARPTS")</f>
        <v>0</v>
      </c>
      <c r="N49">
        <f>RTD("rtdtrading.rtdserver",, "WDOJ24_F_0", "MED")</f>
        <v>0</v>
      </c>
      <c r="O49" t="s">
        <v>253</v>
      </c>
      <c r="P49">
        <f>RTD("rtdtrading.rtdserver",, "WDOJ24_F_0", "NEG")</f>
        <v>0</v>
      </c>
      <c r="Q49">
        <f>RTD("rtdtrading.rtdserver",, "WDOJ24_F_0", "QUL")</f>
        <v>0</v>
      </c>
      <c r="R49">
        <f>RTD("rtdtrading.rtdserver",, "WDOJ24_F_0", "QTT")</f>
        <v>0</v>
      </c>
      <c r="S49">
        <f>RTD("rtdtrading.rtdserver",, "WDOJ24_F_0", "VOL")</f>
        <v>0</v>
      </c>
      <c r="T49">
        <f>RTD("rtdtrading.rtdserver",, "WDOJ24_F_0", "OCP")</f>
        <v>0</v>
      </c>
      <c r="U49">
        <f>RTD("rtdtrading.rtdserver",, "WDOJ24_F_0", "OVD")</f>
        <v>0</v>
      </c>
      <c r="V49">
        <f>RTD("rtdtrading.rtdserver",, "WDOJ24_F_0", "VOC")</f>
        <v>0</v>
      </c>
      <c r="W49">
        <f>RTD("rtdtrading.rtdserver",, "WDOJ24_F_0", "VOV")</f>
        <v>0</v>
      </c>
      <c r="X49">
        <f>RTD("rtdtrading.rtdserver",, "WDOJ24_F_0", "AJU")</f>
        <v>0</v>
      </c>
      <c r="Y49">
        <f>RTD("rtdtrading.rtdserver",, "WDOJ24_F_0", "AJA")</f>
        <v>0</v>
      </c>
      <c r="Z49">
        <f>RTD("rtdtrading.rtdserver",, "WDOJ24_F_0", "PRT")</f>
        <v>0</v>
      </c>
      <c r="AA49">
        <f>RTD("rtdtrading.rtdserver",, "WDOJ24_F_0", "QTE")</f>
        <v>0</v>
      </c>
      <c r="AB49">
        <f>RTD("rtdtrading.rtdserver",, "WDOJ24_F_0", "VPJ")</f>
        <v>0</v>
      </c>
      <c r="AC49">
        <f>RTD("rtdtrading.rtdserver",, "WDOJ24_F_0", "SEM")</f>
        <v>0</v>
      </c>
      <c r="AD49">
        <f>RTD("rtdtrading.rtdserver",, "WDOJ24_F_0", "MES")</f>
        <v>0</v>
      </c>
      <c r="AE49">
        <f>RTD("rtdtrading.rtdserver",, "WDOJ24_F_0", "3M")</f>
        <v>0</v>
      </c>
      <c r="AF49">
        <f>RTD("rtdtrading.rtdserver",, "WDOJ24_F_0", "6M")</f>
        <v>0</v>
      </c>
      <c r="AG49">
        <f>RTD("rtdtrading.rtdserver",, "WDOJ24_F_0", "12M")</f>
        <v>0</v>
      </c>
      <c r="AH49">
        <f>RTD("rtdtrading.rtdserver",, "WDOJ24_F_0", "ANO")</f>
        <v>0</v>
      </c>
      <c r="AI49">
        <f>RTD("rtdtrading.rtdserver",, "WDOJ24_F_0", "TRIM")</f>
        <v>0</v>
      </c>
      <c r="AJ49">
        <f>RTD("rtdtrading.rtdserver",, "WDOJ24_F_0", "SEMES")</f>
        <v>0</v>
      </c>
      <c r="AK49" t="str">
        <f>RTD("rtdtrading.rtdserver",, "WDOJ24_F_0", "VEN")</f>
        <v>29/12/2024</v>
      </c>
      <c r="AL49" t="str">
        <f>RTD("rtdtrading.rtdserver",, "WDOJ24_F_0", "VAL")</f>
        <v>29/12/2024</v>
      </c>
      <c r="AM49">
        <f>RTD("rtdtrading.rtdserver",, "WDOJ24_F_0", "CAB")</f>
        <v>0</v>
      </c>
      <c r="AN49" t="str">
        <f>RTD("rtdtrading.rtdserver",, "WDOJ24_F_0", "EST")</f>
        <v>NONE</v>
      </c>
      <c r="AO49" t="str">
        <f>RTD("rtdtrading.rtdserver",, "WDOJ24_F_0", "BLACK")</f>
        <v>-</v>
      </c>
      <c r="AP49" t="str">
        <f>RTD("rtdtrading.rtdserver",, "WDOJ24_F_0", "IMPVT")</f>
        <v>-</v>
      </c>
      <c r="AQ49" t="str">
        <f>RTD("rtdtrading.rtdserver",, "WDOJ24_F_0", "DELTA")</f>
        <v>-</v>
      </c>
      <c r="AR49" t="str">
        <f>RTD("rtdtrading.rtdserver",, "WDOJ24_F_0", "GAMA")</f>
        <v>-</v>
      </c>
      <c r="AS49" t="str">
        <f>RTD("rtdtrading.rtdserver",, "WDOJ24_F_0", "THETA")</f>
        <v>-</v>
      </c>
      <c r="AT49" t="str">
        <f>RTD("rtdtrading.rtdserver",, "WDOJ24_F_0", "RHO")</f>
        <v>-</v>
      </c>
      <c r="AU49" t="str">
        <f>RTD("rtdtrading.rtdserver",, "WDOJ24_F_0", "VEGA")</f>
        <v>-</v>
      </c>
      <c r="AV49" t="str">
        <f>RTD("rtdtrading.rtdserver",, "WDOJ24_F_0", "VIA")</f>
        <v>-</v>
      </c>
      <c r="AW49" t="str">
        <f>RTD("rtdtrading.rtdserver",, "WDOJ24_F_0", "VIB")</f>
        <v>-</v>
      </c>
      <c r="AX49" t="str">
        <f>RTD("rtdtrading.rtdserver",, "WDOJ24_F_0", "DOBRAR")</f>
        <v>-</v>
      </c>
      <c r="AY49" t="str">
        <f>RTD("rtdtrading.rtdserver",, "WDOJ24_F_0", "VIVH")</f>
        <v>-</v>
      </c>
      <c r="AZ49" t="str">
        <f>RTD("rtdtrading.rtdserver",, "WDOJ24_F_0", "VINT")</f>
        <v>-</v>
      </c>
      <c r="BA49" t="str">
        <f>RTD("rtdtrading.rtdserver",, "WDOJ24_F_0", "VEXT")</f>
        <v>-</v>
      </c>
    </row>
    <row r="50" spans="3:53" x14ac:dyDescent="0.25">
      <c r="C50" t="s">
        <v>295</v>
      </c>
      <c r="D50" t="str">
        <f>RTD("rtdtrading.rtdserver",, "WDOH24_F_0", "DAT")</f>
        <v>30/12/1899</v>
      </c>
      <c r="E50" t="str">
        <f>RTD("rtdtrading.rtdserver",, "WDOH24_F_0", "HOR")</f>
        <v>00:00:00</v>
      </c>
      <c r="F50">
        <f>RTD("rtdtrading.rtdserver",, "WDOH24_F_0", "ULT")</f>
        <v>0</v>
      </c>
      <c r="G50">
        <f>RTD("rtdtrading.rtdserver",, "WDOH24_F_0", "ABE")</f>
        <v>0</v>
      </c>
      <c r="H50">
        <f>RTD("rtdtrading.rtdserver",, "WDOH24_F_0", "MAX")</f>
        <v>0</v>
      </c>
      <c r="I50">
        <f>RTD("rtdtrading.rtdserver",, "WDOH24_F_0", "MIN")</f>
        <v>0</v>
      </c>
      <c r="J50">
        <f>RTD("rtdtrading.rtdserver",, "WDOH24_F_0", "FEC")</f>
        <v>0</v>
      </c>
      <c r="K50">
        <f>RTD("rtdtrading.rtdserver",, "WDOH24_F_0", "PEX")</f>
        <v>0</v>
      </c>
      <c r="L50">
        <f>RTD("rtdtrading.rtdserver",, "WDOH24_F_0", "VAR")</f>
        <v>0</v>
      </c>
      <c r="M50">
        <f>RTD("rtdtrading.rtdserver",, "WDOH24_F_0", "VARPTS")</f>
        <v>0</v>
      </c>
      <c r="N50">
        <f>RTD("rtdtrading.rtdserver",, "WDOH24_F_0", "MED")</f>
        <v>0</v>
      </c>
      <c r="O50" t="s">
        <v>253</v>
      </c>
      <c r="P50">
        <f>RTD("rtdtrading.rtdserver",, "WDOH24_F_0", "NEG")</f>
        <v>0</v>
      </c>
      <c r="Q50">
        <f>RTD("rtdtrading.rtdserver",, "WDOH24_F_0", "QUL")</f>
        <v>0</v>
      </c>
      <c r="R50">
        <f>RTD("rtdtrading.rtdserver",, "WDOH24_F_0", "QTT")</f>
        <v>0</v>
      </c>
      <c r="S50">
        <f>RTD("rtdtrading.rtdserver",, "WDOH24_F_0", "VOL")</f>
        <v>0</v>
      </c>
      <c r="T50">
        <f>RTD("rtdtrading.rtdserver",, "WDOH24_F_0", "OCP")</f>
        <v>0</v>
      </c>
      <c r="U50">
        <f>RTD("rtdtrading.rtdserver",, "WDOH24_F_0", "OVD")</f>
        <v>0</v>
      </c>
      <c r="V50">
        <f>RTD("rtdtrading.rtdserver",, "WDOH24_F_0", "VOC")</f>
        <v>0</v>
      </c>
      <c r="W50">
        <f>RTD("rtdtrading.rtdserver",, "WDOH24_F_0", "VOV")</f>
        <v>0</v>
      </c>
      <c r="X50">
        <f>RTD("rtdtrading.rtdserver",, "WDOH24_F_0", "AJU")</f>
        <v>0</v>
      </c>
      <c r="Y50">
        <f>RTD("rtdtrading.rtdserver",, "WDOH24_F_0", "AJA")</f>
        <v>0</v>
      </c>
      <c r="Z50">
        <f>RTD("rtdtrading.rtdserver",, "WDOH24_F_0", "PRT")</f>
        <v>0</v>
      </c>
      <c r="AA50">
        <f>RTD("rtdtrading.rtdserver",, "WDOH24_F_0", "QTE")</f>
        <v>0</v>
      </c>
      <c r="AB50">
        <f>RTD("rtdtrading.rtdserver",, "WDOH24_F_0", "VPJ")</f>
        <v>0</v>
      </c>
      <c r="AC50">
        <f>RTD("rtdtrading.rtdserver",, "WDOH24_F_0", "SEM")</f>
        <v>0</v>
      </c>
      <c r="AD50">
        <f>RTD("rtdtrading.rtdserver",, "WDOH24_F_0", "MES")</f>
        <v>0</v>
      </c>
      <c r="AE50">
        <f>RTD("rtdtrading.rtdserver",, "WDOH24_F_0", "3M")</f>
        <v>0</v>
      </c>
      <c r="AF50">
        <f>RTD("rtdtrading.rtdserver",, "WDOH24_F_0", "6M")</f>
        <v>0</v>
      </c>
      <c r="AG50">
        <f>RTD("rtdtrading.rtdserver",, "WDOH24_F_0", "12M")</f>
        <v>0</v>
      </c>
      <c r="AH50">
        <f>RTD("rtdtrading.rtdserver",, "WDOH24_F_0", "ANO")</f>
        <v>0</v>
      </c>
      <c r="AI50">
        <f>RTD("rtdtrading.rtdserver",, "WDOH24_F_0", "TRIM")</f>
        <v>0</v>
      </c>
      <c r="AJ50">
        <f>RTD("rtdtrading.rtdserver",, "WDOH24_F_0", "SEMES")</f>
        <v>0</v>
      </c>
      <c r="AK50" t="str">
        <f>RTD("rtdtrading.rtdserver",, "WDOH24_F_0", "VEN")</f>
        <v>01/03/2024</v>
      </c>
      <c r="AL50" t="str">
        <f>RTD("rtdtrading.rtdserver",, "WDOH24_F_0", "VAL")</f>
        <v>29/02/2024</v>
      </c>
      <c r="AM50">
        <f>RTD("rtdtrading.rtdserver",, "WDOH24_F_0", "CAB")</f>
        <v>0</v>
      </c>
      <c r="AN50" t="str">
        <f>RTD("rtdtrading.rtdserver",, "WDOH24_F_0", "EST")</f>
        <v>NONE</v>
      </c>
      <c r="AO50" t="str">
        <f>RTD("rtdtrading.rtdserver",, "WDOH24_F_0", "BLACK")</f>
        <v>-</v>
      </c>
      <c r="AP50" t="str">
        <f>RTD("rtdtrading.rtdserver",, "WDOH24_F_0", "IMPVT")</f>
        <v>-</v>
      </c>
      <c r="AQ50" t="str">
        <f>RTD("rtdtrading.rtdserver",, "WDOH24_F_0", "DELTA")</f>
        <v>-</v>
      </c>
      <c r="AR50" t="str">
        <f>RTD("rtdtrading.rtdserver",, "WDOH24_F_0", "GAMA")</f>
        <v>-</v>
      </c>
      <c r="AS50" t="str">
        <f>RTD("rtdtrading.rtdserver",, "WDOH24_F_0", "THETA")</f>
        <v>-</v>
      </c>
      <c r="AT50" t="str">
        <f>RTD("rtdtrading.rtdserver",, "WDOH24_F_0", "RHO")</f>
        <v>-</v>
      </c>
      <c r="AU50" t="str">
        <f>RTD("rtdtrading.rtdserver",, "WDOH24_F_0", "VEGA")</f>
        <v>-</v>
      </c>
      <c r="AV50" t="str">
        <f>RTD("rtdtrading.rtdserver",, "WDOH24_F_0", "VIA")</f>
        <v>-</v>
      </c>
      <c r="AW50" t="str">
        <f>RTD("rtdtrading.rtdserver",, "WDOH24_F_0", "VIB")</f>
        <v>-</v>
      </c>
      <c r="AX50" t="str">
        <f>RTD("rtdtrading.rtdserver",, "WDOH24_F_0", "DOBRAR")</f>
        <v>-</v>
      </c>
      <c r="AY50" t="str">
        <f>RTD("rtdtrading.rtdserver",, "WDOH24_F_0", "VIVH")</f>
        <v>-</v>
      </c>
      <c r="AZ50" t="str">
        <f>RTD("rtdtrading.rtdserver",, "WDOH24_F_0", "VINT")</f>
        <v>-</v>
      </c>
      <c r="BA50" t="str">
        <f>RTD("rtdtrading.rtdserver",, "WDOH24_F_0", "VEXT")</f>
        <v>-</v>
      </c>
    </row>
    <row r="51" spans="3:53" x14ac:dyDescent="0.25">
      <c r="C51" t="s">
        <v>298</v>
      </c>
      <c r="D51" t="str">
        <f>RTD("rtdtrading.rtdserver",, "WDOG24_F_0", "DAT")</f>
        <v>30/12/1899</v>
      </c>
      <c r="E51" t="str">
        <f>RTD("rtdtrading.rtdserver",, "WDOG24_F_0", "HOR")</f>
        <v>00:00:00</v>
      </c>
      <c r="F51">
        <f>RTD("rtdtrading.rtdserver",, "WDOG24_F_0", "ULT")</f>
        <v>0</v>
      </c>
      <c r="G51">
        <f>RTD("rtdtrading.rtdserver",, "WDOG24_F_0", "ABE")</f>
        <v>0</v>
      </c>
      <c r="H51">
        <f>RTD("rtdtrading.rtdserver",, "WDOG24_F_0", "MAX")</f>
        <v>0</v>
      </c>
      <c r="I51">
        <f>RTD("rtdtrading.rtdserver",, "WDOG24_F_0", "MIN")</f>
        <v>0</v>
      </c>
      <c r="J51">
        <f>RTD("rtdtrading.rtdserver",, "WDOG24_F_0", "FEC")</f>
        <v>0</v>
      </c>
      <c r="K51">
        <f>RTD("rtdtrading.rtdserver",, "WDOG24_F_0", "PEX")</f>
        <v>0</v>
      </c>
      <c r="L51">
        <f>RTD("rtdtrading.rtdserver",, "WDOG24_F_0", "VAR")</f>
        <v>0</v>
      </c>
      <c r="M51">
        <f>RTD("rtdtrading.rtdserver",, "WDOG24_F_0", "VARPTS")</f>
        <v>0</v>
      </c>
      <c r="N51">
        <f>RTD("rtdtrading.rtdserver",, "WDOG24_F_0", "MED")</f>
        <v>0</v>
      </c>
      <c r="O51" t="s">
        <v>253</v>
      </c>
      <c r="P51">
        <f>RTD("rtdtrading.rtdserver",, "WDOG24_F_0", "NEG")</f>
        <v>0</v>
      </c>
      <c r="Q51">
        <f>RTD("rtdtrading.rtdserver",, "WDOG24_F_0", "QUL")</f>
        <v>0</v>
      </c>
      <c r="R51">
        <f>RTD("rtdtrading.rtdserver",, "WDOG24_F_0", "QTT")</f>
        <v>0</v>
      </c>
      <c r="S51">
        <f>RTD("rtdtrading.rtdserver",, "WDOG24_F_0", "VOL")</f>
        <v>0</v>
      </c>
      <c r="T51">
        <f>RTD("rtdtrading.rtdserver",, "WDOG24_F_0", "OCP")</f>
        <v>0</v>
      </c>
      <c r="U51">
        <f>RTD("rtdtrading.rtdserver",, "WDOG24_F_0", "OVD")</f>
        <v>0</v>
      </c>
      <c r="V51">
        <f>RTD("rtdtrading.rtdserver",, "WDOG24_F_0", "VOC")</f>
        <v>0</v>
      </c>
      <c r="W51">
        <f>RTD("rtdtrading.rtdserver",, "WDOG24_F_0", "VOV")</f>
        <v>0</v>
      </c>
      <c r="X51">
        <f>RTD("rtdtrading.rtdserver",, "WDOG24_F_0", "AJU")</f>
        <v>0</v>
      </c>
      <c r="Y51">
        <f>RTD("rtdtrading.rtdserver",, "WDOG24_F_0", "AJA")</f>
        <v>0</v>
      </c>
      <c r="Z51">
        <f>RTD("rtdtrading.rtdserver",, "WDOG24_F_0", "PRT")</f>
        <v>0</v>
      </c>
      <c r="AA51">
        <f>RTD("rtdtrading.rtdserver",, "WDOG24_F_0", "QTE")</f>
        <v>0</v>
      </c>
      <c r="AB51">
        <f>RTD("rtdtrading.rtdserver",, "WDOG24_F_0", "VPJ")</f>
        <v>0</v>
      </c>
      <c r="AC51">
        <f>RTD("rtdtrading.rtdserver",, "WDOG24_F_0", "SEM")</f>
        <v>0</v>
      </c>
      <c r="AD51">
        <f>RTD("rtdtrading.rtdserver",, "WDOG24_F_0", "MES")</f>
        <v>0</v>
      </c>
      <c r="AE51">
        <f>RTD("rtdtrading.rtdserver",, "WDOG24_F_0", "3M")</f>
        <v>0</v>
      </c>
      <c r="AF51">
        <f>RTD("rtdtrading.rtdserver",, "WDOG24_F_0", "6M")</f>
        <v>0</v>
      </c>
      <c r="AG51">
        <f>RTD("rtdtrading.rtdserver",, "WDOG24_F_0", "12M")</f>
        <v>0</v>
      </c>
      <c r="AH51">
        <f>RTD("rtdtrading.rtdserver",, "WDOG24_F_0", "ANO")</f>
        <v>0</v>
      </c>
      <c r="AI51">
        <f>RTD("rtdtrading.rtdserver",, "WDOG24_F_0", "TRIM")</f>
        <v>0</v>
      </c>
      <c r="AJ51">
        <f>RTD("rtdtrading.rtdserver",, "WDOG24_F_0", "SEMES")</f>
        <v>0</v>
      </c>
      <c r="AK51" t="str">
        <f>RTD("rtdtrading.rtdserver",, "WDOG24_F_0", "VEN")</f>
        <v>01/02/2024</v>
      </c>
      <c r="AL51" t="str">
        <f>RTD("rtdtrading.rtdserver",, "WDOG24_F_0", "VAL")</f>
        <v>31/01/2024</v>
      </c>
      <c r="AM51">
        <f>RTD("rtdtrading.rtdserver",, "WDOG24_F_0", "CAB")</f>
        <v>0</v>
      </c>
      <c r="AN51" t="str">
        <f>RTD("rtdtrading.rtdserver",, "WDOG24_F_0", "EST")</f>
        <v>NONE</v>
      </c>
      <c r="AO51" t="str">
        <f>RTD("rtdtrading.rtdserver",, "WDOG24_F_0", "BLACK")</f>
        <v>-</v>
      </c>
      <c r="AP51" t="str">
        <f>RTD("rtdtrading.rtdserver",, "WDOG24_F_0", "IMPVT")</f>
        <v>-</v>
      </c>
      <c r="AQ51" t="str">
        <f>RTD("rtdtrading.rtdserver",, "WDOG24_F_0", "DELTA")</f>
        <v>-</v>
      </c>
      <c r="AR51" t="str">
        <f>RTD("rtdtrading.rtdserver",, "WDOG24_F_0", "GAMA")</f>
        <v>-</v>
      </c>
      <c r="AS51" t="str">
        <f>RTD("rtdtrading.rtdserver",, "WDOG24_F_0", "THETA")</f>
        <v>-</v>
      </c>
      <c r="AT51" t="str">
        <f>RTD("rtdtrading.rtdserver",, "WDOG24_F_0", "RHO")</f>
        <v>-</v>
      </c>
      <c r="AU51" t="str">
        <f>RTD("rtdtrading.rtdserver",, "WDOG24_F_0", "VEGA")</f>
        <v>-</v>
      </c>
      <c r="AV51" t="str">
        <f>RTD("rtdtrading.rtdserver",, "WDOG24_F_0", "VIA")</f>
        <v>-</v>
      </c>
      <c r="AW51" t="str">
        <f>RTD("rtdtrading.rtdserver",, "WDOG24_F_0", "VIB")</f>
        <v>-</v>
      </c>
      <c r="AX51" t="str">
        <f>RTD("rtdtrading.rtdserver",, "WDOG24_F_0", "DOBRAR")</f>
        <v>-</v>
      </c>
      <c r="AY51" t="str">
        <f>RTD("rtdtrading.rtdserver",, "WDOG24_F_0", "VIVH")</f>
        <v>-</v>
      </c>
      <c r="AZ51" t="str">
        <f>RTD("rtdtrading.rtdserver",, "WDOG24_F_0", "VINT")</f>
        <v>-</v>
      </c>
      <c r="BA51" t="str">
        <f>RTD("rtdtrading.rtdserver",, "WDOG24_F_0", "VEXT")</f>
        <v>-</v>
      </c>
    </row>
    <row r="52" spans="3:53" x14ac:dyDescent="0.25">
      <c r="C52" t="s">
        <v>302</v>
      </c>
      <c r="D52" t="str">
        <f>RTD("rtdtrading.rtdserver",, "WDOQ24_F_0", "DAT")</f>
        <v>30/12/1899</v>
      </c>
      <c r="E52" t="str">
        <f>RTD("rtdtrading.rtdserver",, "WDOQ24_F_0", "HOR")</f>
        <v>00:00:00</v>
      </c>
      <c r="F52">
        <f>RTD("rtdtrading.rtdserver",, "WDOQ24_F_0", "ULT")</f>
        <v>0</v>
      </c>
      <c r="G52">
        <f>RTD("rtdtrading.rtdserver",, "WDOQ24_F_0", "ABE")</f>
        <v>0</v>
      </c>
      <c r="H52">
        <f>RTD("rtdtrading.rtdserver",, "WDOQ24_F_0", "MAX")</f>
        <v>0</v>
      </c>
      <c r="I52">
        <f>RTD("rtdtrading.rtdserver",, "WDOQ24_F_0", "MIN")</f>
        <v>0</v>
      </c>
      <c r="J52">
        <f>RTD("rtdtrading.rtdserver",, "WDOQ24_F_0", "FEC")</f>
        <v>0</v>
      </c>
      <c r="K52">
        <f>RTD("rtdtrading.rtdserver",, "WDOQ24_F_0", "PEX")</f>
        <v>0</v>
      </c>
      <c r="L52">
        <f>RTD("rtdtrading.rtdserver",, "WDOQ24_F_0", "VAR")</f>
        <v>0</v>
      </c>
      <c r="M52">
        <f>RTD("rtdtrading.rtdserver",, "WDOQ24_F_0", "VARPTS")</f>
        <v>0</v>
      </c>
      <c r="N52">
        <f>RTD("rtdtrading.rtdserver",, "WDOQ24_F_0", "MED")</f>
        <v>0</v>
      </c>
      <c r="O52" t="s">
        <v>253</v>
      </c>
      <c r="P52">
        <f>RTD("rtdtrading.rtdserver",, "WDOQ24_F_0", "NEG")</f>
        <v>0</v>
      </c>
      <c r="Q52">
        <f>RTD("rtdtrading.rtdserver",, "WDOQ24_F_0", "QUL")</f>
        <v>0</v>
      </c>
      <c r="R52">
        <f>RTD("rtdtrading.rtdserver",, "WDOQ24_F_0", "QTT")</f>
        <v>0</v>
      </c>
      <c r="S52">
        <f>RTD("rtdtrading.rtdserver",, "WDOQ24_F_0", "VOL")</f>
        <v>0</v>
      </c>
      <c r="T52">
        <f>RTD("rtdtrading.rtdserver",, "WDOQ24_F_0", "OCP")</f>
        <v>0</v>
      </c>
      <c r="U52">
        <f>RTD("rtdtrading.rtdserver",, "WDOQ24_F_0", "OVD")</f>
        <v>0</v>
      </c>
      <c r="V52">
        <f>RTD("rtdtrading.rtdserver",, "WDOQ24_F_0", "VOC")</f>
        <v>0</v>
      </c>
      <c r="W52">
        <f>RTD("rtdtrading.rtdserver",, "WDOQ24_F_0", "VOV")</f>
        <v>0</v>
      </c>
      <c r="X52">
        <f>RTD("rtdtrading.rtdserver",, "WDOQ24_F_0", "AJU")</f>
        <v>0</v>
      </c>
      <c r="Y52">
        <f>RTD("rtdtrading.rtdserver",, "WDOQ24_F_0", "AJA")</f>
        <v>0</v>
      </c>
      <c r="Z52">
        <f>RTD("rtdtrading.rtdserver",, "WDOQ24_F_0", "PRT")</f>
        <v>0</v>
      </c>
      <c r="AA52">
        <f>RTD("rtdtrading.rtdserver",, "WDOQ24_F_0", "QTE")</f>
        <v>0</v>
      </c>
      <c r="AB52">
        <f>RTD("rtdtrading.rtdserver",, "WDOQ24_F_0", "VPJ")</f>
        <v>0</v>
      </c>
      <c r="AC52">
        <f>RTD("rtdtrading.rtdserver",, "WDOQ24_F_0", "SEM")</f>
        <v>0</v>
      </c>
      <c r="AD52">
        <f>RTD("rtdtrading.rtdserver",, "WDOQ24_F_0", "MES")</f>
        <v>0</v>
      </c>
      <c r="AE52">
        <f>RTD("rtdtrading.rtdserver",, "WDOQ24_F_0", "3M")</f>
        <v>0</v>
      </c>
      <c r="AF52">
        <f>RTD("rtdtrading.rtdserver",, "WDOQ24_F_0", "6M")</f>
        <v>0</v>
      </c>
      <c r="AG52">
        <f>RTD("rtdtrading.rtdserver",, "WDOQ24_F_0", "12M")</f>
        <v>0</v>
      </c>
      <c r="AH52">
        <f>RTD("rtdtrading.rtdserver",, "WDOQ24_F_0", "ANO")</f>
        <v>0</v>
      </c>
      <c r="AI52">
        <f>RTD("rtdtrading.rtdserver",, "WDOQ24_F_0", "TRIM")</f>
        <v>0</v>
      </c>
      <c r="AJ52">
        <f>RTD("rtdtrading.rtdserver",, "WDOQ24_F_0", "SEMES")</f>
        <v>0</v>
      </c>
      <c r="AK52" t="str">
        <f>RTD("rtdtrading.rtdserver",, "WDOQ24_F_0", "VEN")</f>
        <v>29/12/2024</v>
      </c>
      <c r="AL52" t="str">
        <f>RTD("rtdtrading.rtdserver",, "WDOQ24_F_0", "VAL")</f>
        <v>29/12/2024</v>
      </c>
      <c r="AM52">
        <f>RTD("rtdtrading.rtdserver",, "WDOQ24_F_0", "CAB")</f>
        <v>0</v>
      </c>
      <c r="AN52" t="str">
        <f>RTD("rtdtrading.rtdserver",, "WDOQ24_F_0", "EST")</f>
        <v>NONE</v>
      </c>
      <c r="AO52" t="str">
        <f>RTD("rtdtrading.rtdserver",, "WDOQ24_F_0", "BLACK")</f>
        <v>-</v>
      </c>
      <c r="AP52" t="str">
        <f>RTD("rtdtrading.rtdserver",, "WDOQ24_F_0", "IMPVT")</f>
        <v>-</v>
      </c>
      <c r="AQ52" t="str">
        <f>RTD("rtdtrading.rtdserver",, "WDOQ24_F_0", "DELTA")</f>
        <v>-</v>
      </c>
      <c r="AR52" t="str">
        <f>RTD("rtdtrading.rtdserver",, "WDOQ24_F_0", "GAMA")</f>
        <v>-</v>
      </c>
      <c r="AS52" t="str">
        <f>RTD("rtdtrading.rtdserver",, "WDOQ24_F_0", "THETA")</f>
        <v>-</v>
      </c>
      <c r="AT52" t="str">
        <f>RTD("rtdtrading.rtdserver",, "WDOQ24_F_0", "RHO")</f>
        <v>-</v>
      </c>
      <c r="AU52" t="str">
        <f>RTD("rtdtrading.rtdserver",, "WDOQ24_F_0", "VEGA")</f>
        <v>-</v>
      </c>
      <c r="AV52" t="str">
        <f>RTD("rtdtrading.rtdserver",, "WDOQ24_F_0", "VIA")</f>
        <v>-</v>
      </c>
      <c r="AW52" t="str">
        <f>RTD("rtdtrading.rtdserver",, "WDOQ24_F_0", "VIB")</f>
        <v>-</v>
      </c>
      <c r="AX52" t="str">
        <f>RTD("rtdtrading.rtdserver",, "WDOQ24_F_0", "DOBRAR")</f>
        <v>-</v>
      </c>
      <c r="AY52" t="str">
        <f>RTD("rtdtrading.rtdserver",, "WDOQ24_F_0", "VIVH")</f>
        <v>-</v>
      </c>
      <c r="AZ52" t="str">
        <f>RTD("rtdtrading.rtdserver",, "WDOQ24_F_0", "VINT")</f>
        <v>-</v>
      </c>
      <c r="BA52" t="str">
        <f>RTD("rtdtrading.rtdserver",, "WDOQ24_F_0", "VEXT")</f>
        <v>-</v>
      </c>
    </row>
    <row r="53" spans="3:53" x14ac:dyDescent="0.25">
      <c r="C53" t="s">
        <v>305</v>
      </c>
      <c r="D53" t="str">
        <f>RTD("rtdtrading.rtdserver",, "WDOU24_F_0", "DAT")</f>
        <v>30/12/1899</v>
      </c>
      <c r="E53" t="str">
        <f>RTD("rtdtrading.rtdserver",, "WDOU24_F_0", "HOR")</f>
        <v>00:00:00</v>
      </c>
      <c r="F53">
        <f>RTD("rtdtrading.rtdserver",, "WDOU24_F_0", "ULT")</f>
        <v>0</v>
      </c>
      <c r="G53">
        <f>RTD("rtdtrading.rtdserver",, "WDOU24_F_0", "ABE")</f>
        <v>0</v>
      </c>
      <c r="H53">
        <f>RTD("rtdtrading.rtdserver",, "WDOU24_F_0", "MAX")</f>
        <v>0</v>
      </c>
      <c r="I53">
        <f>RTD("rtdtrading.rtdserver",, "WDOU24_F_0", "MIN")</f>
        <v>0</v>
      </c>
      <c r="J53">
        <f>RTD("rtdtrading.rtdserver",, "WDOU24_F_0", "FEC")</f>
        <v>0</v>
      </c>
      <c r="K53">
        <f>RTD("rtdtrading.rtdserver",, "WDOU24_F_0", "PEX")</f>
        <v>0</v>
      </c>
      <c r="L53">
        <f>RTD("rtdtrading.rtdserver",, "WDOU24_F_0", "VAR")</f>
        <v>0</v>
      </c>
      <c r="M53">
        <f>RTD("rtdtrading.rtdserver",, "WDOU24_F_0", "VARPTS")</f>
        <v>0</v>
      </c>
      <c r="N53">
        <f>RTD("rtdtrading.rtdserver",, "WDOU24_F_0", "MED")</f>
        <v>0</v>
      </c>
      <c r="O53" t="s">
        <v>253</v>
      </c>
      <c r="P53">
        <f>RTD("rtdtrading.rtdserver",, "WDOU24_F_0", "NEG")</f>
        <v>0</v>
      </c>
      <c r="Q53">
        <f>RTD("rtdtrading.rtdserver",, "WDOU24_F_0", "QUL")</f>
        <v>0</v>
      </c>
      <c r="R53">
        <f>RTD("rtdtrading.rtdserver",, "WDOU24_F_0", "QTT")</f>
        <v>0</v>
      </c>
      <c r="S53">
        <f>RTD("rtdtrading.rtdserver",, "WDOU24_F_0", "VOL")</f>
        <v>0</v>
      </c>
      <c r="T53">
        <f>RTD("rtdtrading.rtdserver",, "WDOU24_F_0", "OCP")</f>
        <v>0</v>
      </c>
      <c r="U53">
        <f>RTD("rtdtrading.rtdserver",, "WDOU24_F_0", "OVD")</f>
        <v>0</v>
      </c>
      <c r="V53">
        <f>RTD("rtdtrading.rtdserver",, "WDOU24_F_0", "VOC")</f>
        <v>0</v>
      </c>
      <c r="W53">
        <f>RTD("rtdtrading.rtdserver",, "WDOU24_F_0", "VOV")</f>
        <v>0</v>
      </c>
      <c r="X53">
        <f>RTD("rtdtrading.rtdserver",, "WDOU24_F_0", "AJU")</f>
        <v>0</v>
      </c>
      <c r="Y53">
        <f>RTD("rtdtrading.rtdserver",, "WDOU24_F_0", "AJA")</f>
        <v>0</v>
      </c>
      <c r="Z53">
        <f>RTD("rtdtrading.rtdserver",, "WDOU24_F_0", "PRT")</f>
        <v>0</v>
      </c>
      <c r="AA53">
        <f>RTD("rtdtrading.rtdserver",, "WDOU24_F_0", "QTE")</f>
        <v>0</v>
      </c>
      <c r="AB53">
        <f>RTD("rtdtrading.rtdserver",, "WDOU24_F_0", "VPJ")</f>
        <v>0</v>
      </c>
      <c r="AC53">
        <f>RTD("rtdtrading.rtdserver",, "WDOU24_F_0", "SEM")</f>
        <v>0</v>
      </c>
      <c r="AD53">
        <f>RTD("rtdtrading.rtdserver",, "WDOU24_F_0", "MES")</f>
        <v>0</v>
      </c>
      <c r="AE53">
        <f>RTD("rtdtrading.rtdserver",, "WDOU24_F_0", "3M")</f>
        <v>0</v>
      </c>
      <c r="AF53">
        <f>RTD("rtdtrading.rtdserver",, "WDOU24_F_0", "6M")</f>
        <v>0</v>
      </c>
      <c r="AG53">
        <f>RTD("rtdtrading.rtdserver",, "WDOU24_F_0", "12M")</f>
        <v>0</v>
      </c>
      <c r="AH53">
        <f>RTD("rtdtrading.rtdserver",, "WDOU24_F_0", "ANO")</f>
        <v>0</v>
      </c>
      <c r="AI53">
        <f>RTD("rtdtrading.rtdserver",, "WDOU24_F_0", "TRIM")</f>
        <v>0</v>
      </c>
      <c r="AJ53">
        <f>RTD("rtdtrading.rtdserver",, "WDOU24_F_0", "SEMES")</f>
        <v>0</v>
      </c>
      <c r="AK53" t="str">
        <f>RTD("rtdtrading.rtdserver",, "WDOU24_F_0", "VEN")</f>
        <v>29/12/2024</v>
      </c>
      <c r="AL53" t="str">
        <f>RTD("rtdtrading.rtdserver",, "WDOU24_F_0", "VAL")</f>
        <v>29/12/2024</v>
      </c>
      <c r="AM53">
        <f>RTD("rtdtrading.rtdserver",, "WDOU24_F_0", "CAB")</f>
        <v>0</v>
      </c>
      <c r="AN53" t="str">
        <f>RTD("rtdtrading.rtdserver",, "WDOU24_F_0", "EST")</f>
        <v>NONE</v>
      </c>
      <c r="AO53" t="str">
        <f>RTD("rtdtrading.rtdserver",, "WDOU24_F_0", "BLACK")</f>
        <v>-</v>
      </c>
      <c r="AP53" t="str">
        <f>RTD("rtdtrading.rtdserver",, "WDOU24_F_0", "IMPVT")</f>
        <v>-</v>
      </c>
      <c r="AQ53" t="str">
        <f>RTD("rtdtrading.rtdserver",, "WDOU24_F_0", "DELTA")</f>
        <v>-</v>
      </c>
      <c r="AR53" t="str">
        <f>RTD("rtdtrading.rtdserver",, "WDOU24_F_0", "GAMA")</f>
        <v>-</v>
      </c>
      <c r="AS53" t="str">
        <f>RTD("rtdtrading.rtdserver",, "WDOU24_F_0", "THETA")</f>
        <v>-</v>
      </c>
      <c r="AT53" t="str">
        <f>RTD("rtdtrading.rtdserver",, "WDOU24_F_0", "RHO")</f>
        <v>-</v>
      </c>
      <c r="AU53" t="str">
        <f>RTD("rtdtrading.rtdserver",, "WDOU24_F_0", "VEGA")</f>
        <v>-</v>
      </c>
      <c r="AV53" t="str">
        <f>RTD("rtdtrading.rtdserver",, "WDOU24_F_0", "VIA")</f>
        <v>-</v>
      </c>
      <c r="AW53" t="str">
        <f>RTD("rtdtrading.rtdserver",, "WDOU24_F_0", "VIB")</f>
        <v>-</v>
      </c>
      <c r="AX53" t="str">
        <f>RTD("rtdtrading.rtdserver",, "WDOU24_F_0", "DOBRAR")</f>
        <v>-</v>
      </c>
      <c r="AY53" t="str">
        <f>RTD("rtdtrading.rtdserver",, "WDOU24_F_0", "VIVH")</f>
        <v>-</v>
      </c>
      <c r="AZ53" t="str">
        <f>RTD("rtdtrading.rtdserver",, "WDOU24_F_0", "VINT")</f>
        <v>-</v>
      </c>
      <c r="BA53" t="str">
        <f>RTD("rtdtrading.rtdserver",, "WDOU24_F_0", "VEXT")</f>
        <v>-</v>
      </c>
    </row>
    <row r="54" spans="3:53" x14ac:dyDescent="0.25">
      <c r="C54" t="s">
        <v>307</v>
      </c>
      <c r="D54" t="str">
        <f>RTD("rtdtrading.rtdserver",, "WDOX24_F_0", "DAT")</f>
        <v>30/12/1899</v>
      </c>
      <c r="E54" t="str">
        <f>RTD("rtdtrading.rtdserver",, "WDOX24_F_0", "HOR")</f>
        <v>00:00:00</v>
      </c>
      <c r="F54">
        <f>RTD("rtdtrading.rtdserver",, "WDOX24_F_0", "ULT")</f>
        <v>0</v>
      </c>
      <c r="G54">
        <f>RTD("rtdtrading.rtdserver",, "WDOX24_F_0", "ABE")</f>
        <v>0</v>
      </c>
      <c r="H54">
        <f>RTD("rtdtrading.rtdserver",, "WDOX24_F_0", "MAX")</f>
        <v>0</v>
      </c>
      <c r="I54">
        <f>RTD("rtdtrading.rtdserver",, "WDOX24_F_0", "MIN")</f>
        <v>0</v>
      </c>
      <c r="J54">
        <f>RTD("rtdtrading.rtdserver",, "WDOX24_F_0", "FEC")</f>
        <v>0</v>
      </c>
      <c r="K54">
        <f>RTD("rtdtrading.rtdserver",, "WDOX24_F_0", "PEX")</f>
        <v>0</v>
      </c>
      <c r="L54">
        <f>RTD("rtdtrading.rtdserver",, "WDOX24_F_0", "VAR")</f>
        <v>0</v>
      </c>
      <c r="M54">
        <f>RTD("rtdtrading.rtdserver",, "WDOX24_F_0", "VARPTS")</f>
        <v>0</v>
      </c>
      <c r="N54">
        <f>RTD("rtdtrading.rtdserver",, "WDOX24_F_0", "MED")</f>
        <v>0</v>
      </c>
      <c r="O54" t="s">
        <v>253</v>
      </c>
      <c r="P54">
        <f>RTD("rtdtrading.rtdserver",, "WDOX24_F_0", "NEG")</f>
        <v>0</v>
      </c>
      <c r="Q54">
        <f>RTD("rtdtrading.rtdserver",, "WDOX24_F_0", "QUL")</f>
        <v>0</v>
      </c>
      <c r="R54">
        <f>RTD("rtdtrading.rtdserver",, "WDOX24_F_0", "QTT")</f>
        <v>0</v>
      </c>
      <c r="S54">
        <f>RTD("rtdtrading.rtdserver",, "WDOX24_F_0", "VOL")</f>
        <v>0</v>
      </c>
      <c r="T54">
        <f>RTD("rtdtrading.rtdserver",, "WDOX24_F_0", "OCP")</f>
        <v>0</v>
      </c>
      <c r="U54">
        <f>RTD("rtdtrading.rtdserver",, "WDOX24_F_0", "OVD")</f>
        <v>0</v>
      </c>
      <c r="V54">
        <f>RTD("rtdtrading.rtdserver",, "WDOX24_F_0", "VOC")</f>
        <v>0</v>
      </c>
      <c r="W54">
        <f>RTD("rtdtrading.rtdserver",, "WDOX24_F_0", "VOV")</f>
        <v>0</v>
      </c>
      <c r="X54">
        <f>RTD("rtdtrading.rtdserver",, "WDOX24_F_0", "AJU")</f>
        <v>0</v>
      </c>
      <c r="Y54">
        <f>RTD("rtdtrading.rtdserver",, "WDOX24_F_0", "AJA")</f>
        <v>0</v>
      </c>
      <c r="Z54">
        <f>RTD("rtdtrading.rtdserver",, "WDOX24_F_0", "PRT")</f>
        <v>0</v>
      </c>
      <c r="AA54">
        <f>RTD("rtdtrading.rtdserver",, "WDOX24_F_0", "QTE")</f>
        <v>0</v>
      </c>
      <c r="AB54">
        <f>RTD("rtdtrading.rtdserver",, "WDOX24_F_0", "VPJ")</f>
        <v>0</v>
      </c>
      <c r="AC54">
        <f>RTD("rtdtrading.rtdserver",, "WDOX24_F_0", "SEM")</f>
        <v>0</v>
      </c>
      <c r="AD54">
        <f>RTD("rtdtrading.rtdserver",, "WDOX24_F_0", "MES")</f>
        <v>0</v>
      </c>
      <c r="AE54">
        <f>RTD("rtdtrading.rtdserver",, "WDOX24_F_0", "3M")</f>
        <v>0</v>
      </c>
      <c r="AF54">
        <f>RTD("rtdtrading.rtdserver",, "WDOX24_F_0", "6M")</f>
        <v>0</v>
      </c>
      <c r="AG54">
        <f>RTD("rtdtrading.rtdserver",, "WDOX24_F_0", "12M")</f>
        <v>0</v>
      </c>
      <c r="AH54">
        <f>RTD("rtdtrading.rtdserver",, "WDOX24_F_0", "ANO")</f>
        <v>0</v>
      </c>
      <c r="AI54">
        <f>RTD("rtdtrading.rtdserver",, "WDOX24_F_0", "TRIM")</f>
        <v>0</v>
      </c>
      <c r="AJ54">
        <f>RTD("rtdtrading.rtdserver",, "WDOX24_F_0", "SEMES")</f>
        <v>0</v>
      </c>
      <c r="AK54" t="str">
        <f>RTD("rtdtrading.rtdserver",, "WDOX24_F_0", "VEN")</f>
        <v>01/11/2024</v>
      </c>
      <c r="AL54" t="str">
        <f>RTD("rtdtrading.rtdserver",, "WDOX24_F_0", "VAL")</f>
        <v>31/10/2024</v>
      </c>
      <c r="AM54">
        <f>RTD("rtdtrading.rtdserver",, "WDOX24_F_0", "CAB")</f>
        <v>0</v>
      </c>
      <c r="AN54" t="str">
        <f>RTD("rtdtrading.rtdserver",, "WDOX24_F_0", "EST")</f>
        <v>NONE</v>
      </c>
      <c r="AO54" t="str">
        <f>RTD("rtdtrading.rtdserver",, "WDOX24_F_0", "BLACK")</f>
        <v>-</v>
      </c>
      <c r="AP54" t="str">
        <f>RTD("rtdtrading.rtdserver",, "WDOX24_F_0", "IMPVT")</f>
        <v>-</v>
      </c>
      <c r="AQ54" t="str">
        <f>RTD("rtdtrading.rtdserver",, "WDOX24_F_0", "DELTA")</f>
        <v>-</v>
      </c>
      <c r="AR54" t="str">
        <f>RTD("rtdtrading.rtdserver",, "WDOX24_F_0", "GAMA")</f>
        <v>-</v>
      </c>
      <c r="AS54" t="str">
        <f>RTD("rtdtrading.rtdserver",, "WDOX24_F_0", "THETA")</f>
        <v>-</v>
      </c>
      <c r="AT54" t="str">
        <f>RTD("rtdtrading.rtdserver",, "WDOX24_F_0", "RHO")</f>
        <v>-</v>
      </c>
      <c r="AU54" t="str">
        <f>RTD("rtdtrading.rtdserver",, "WDOX24_F_0", "VEGA")</f>
        <v>-</v>
      </c>
      <c r="AV54" t="str">
        <f>RTD("rtdtrading.rtdserver",, "WDOX24_F_0", "VIA")</f>
        <v>-</v>
      </c>
      <c r="AW54" t="str">
        <f>RTD("rtdtrading.rtdserver",, "WDOX24_F_0", "VIB")</f>
        <v>-</v>
      </c>
      <c r="AX54" t="str">
        <f>RTD("rtdtrading.rtdserver",, "WDOX24_F_0", "DOBRAR")</f>
        <v>-</v>
      </c>
      <c r="AY54" t="str">
        <f>RTD("rtdtrading.rtdserver",, "WDOX24_F_0", "VIVH")</f>
        <v>-</v>
      </c>
      <c r="AZ54" t="str">
        <f>RTD("rtdtrading.rtdserver",, "WDOX24_F_0", "VINT")</f>
        <v>-</v>
      </c>
      <c r="BA54" t="str">
        <f>RTD("rtdtrading.rtdserver",, "WDOX24_F_0", "VEXT")</f>
        <v>-</v>
      </c>
    </row>
    <row r="55" spans="3:53" x14ac:dyDescent="0.25">
      <c r="C55" t="s">
        <v>310</v>
      </c>
      <c r="D55" t="str">
        <f>RTD("rtdtrading.rtdserver",, "WDOV24_F_0", "DAT")</f>
        <v>30/12/1899</v>
      </c>
      <c r="E55" t="str">
        <f>RTD("rtdtrading.rtdserver",, "WDOV24_F_0", "HOR")</f>
        <v>00:00:00</v>
      </c>
      <c r="F55">
        <f>RTD("rtdtrading.rtdserver",, "WDOV24_F_0", "ULT")</f>
        <v>0</v>
      </c>
      <c r="G55">
        <f>RTD("rtdtrading.rtdserver",, "WDOV24_F_0", "ABE")</f>
        <v>0</v>
      </c>
      <c r="H55">
        <f>RTD("rtdtrading.rtdserver",, "WDOV24_F_0", "MAX")</f>
        <v>0</v>
      </c>
      <c r="I55">
        <f>RTD("rtdtrading.rtdserver",, "WDOV24_F_0", "MIN")</f>
        <v>0</v>
      </c>
      <c r="J55">
        <f>RTD("rtdtrading.rtdserver",, "WDOV24_F_0", "FEC")</f>
        <v>0</v>
      </c>
      <c r="K55">
        <f>RTD("rtdtrading.rtdserver",, "WDOV24_F_0", "PEX")</f>
        <v>0</v>
      </c>
      <c r="L55">
        <f>RTD("rtdtrading.rtdserver",, "WDOV24_F_0", "VAR")</f>
        <v>0</v>
      </c>
      <c r="M55">
        <f>RTD("rtdtrading.rtdserver",, "WDOV24_F_0", "VARPTS")</f>
        <v>0</v>
      </c>
      <c r="N55">
        <f>RTD("rtdtrading.rtdserver",, "WDOV24_F_0", "MED")</f>
        <v>0</v>
      </c>
      <c r="O55" t="s">
        <v>253</v>
      </c>
      <c r="P55">
        <f>RTD("rtdtrading.rtdserver",, "WDOV24_F_0", "NEG")</f>
        <v>0</v>
      </c>
      <c r="Q55">
        <f>RTD("rtdtrading.rtdserver",, "WDOV24_F_0", "QUL")</f>
        <v>0</v>
      </c>
      <c r="R55">
        <f>RTD("rtdtrading.rtdserver",, "WDOV24_F_0", "QTT")</f>
        <v>0</v>
      </c>
      <c r="S55">
        <f>RTD("rtdtrading.rtdserver",, "WDOV24_F_0", "VOL")</f>
        <v>0</v>
      </c>
      <c r="T55">
        <f>RTD("rtdtrading.rtdserver",, "WDOV24_F_0", "OCP")</f>
        <v>0</v>
      </c>
      <c r="U55">
        <f>RTD("rtdtrading.rtdserver",, "WDOV24_F_0", "OVD")</f>
        <v>0</v>
      </c>
      <c r="V55">
        <f>RTD("rtdtrading.rtdserver",, "WDOV24_F_0", "VOC")</f>
        <v>0</v>
      </c>
      <c r="W55">
        <f>RTD("rtdtrading.rtdserver",, "WDOV24_F_0", "VOV")</f>
        <v>0</v>
      </c>
      <c r="X55">
        <f>RTD("rtdtrading.rtdserver",, "WDOV24_F_0", "AJU")</f>
        <v>0</v>
      </c>
      <c r="Y55">
        <f>RTD("rtdtrading.rtdserver",, "WDOV24_F_0", "AJA")</f>
        <v>0</v>
      </c>
      <c r="Z55">
        <f>RTD("rtdtrading.rtdserver",, "WDOV24_F_0", "PRT")</f>
        <v>0</v>
      </c>
      <c r="AA55">
        <f>RTD("rtdtrading.rtdserver",, "WDOV24_F_0", "QTE")</f>
        <v>0</v>
      </c>
      <c r="AB55">
        <f>RTD("rtdtrading.rtdserver",, "WDOV24_F_0", "VPJ")</f>
        <v>0</v>
      </c>
      <c r="AC55">
        <f>RTD("rtdtrading.rtdserver",, "WDOV24_F_0", "SEM")</f>
        <v>0</v>
      </c>
      <c r="AD55">
        <f>RTD("rtdtrading.rtdserver",, "WDOV24_F_0", "MES")</f>
        <v>0</v>
      </c>
      <c r="AE55">
        <f>RTD("rtdtrading.rtdserver",, "WDOV24_F_0", "3M")</f>
        <v>0</v>
      </c>
      <c r="AF55">
        <f>RTD("rtdtrading.rtdserver",, "WDOV24_F_0", "6M")</f>
        <v>0</v>
      </c>
      <c r="AG55">
        <f>RTD("rtdtrading.rtdserver",, "WDOV24_F_0", "12M")</f>
        <v>0</v>
      </c>
      <c r="AH55">
        <f>RTD("rtdtrading.rtdserver",, "WDOV24_F_0", "ANO")</f>
        <v>0</v>
      </c>
      <c r="AI55">
        <f>RTD("rtdtrading.rtdserver",, "WDOV24_F_0", "TRIM")</f>
        <v>0</v>
      </c>
      <c r="AJ55">
        <f>RTD("rtdtrading.rtdserver",, "WDOV24_F_0", "SEMES")</f>
        <v>0</v>
      </c>
      <c r="AK55" t="str">
        <f>RTD("rtdtrading.rtdserver",, "WDOV24_F_0", "VEN")</f>
        <v>01/10/2024</v>
      </c>
      <c r="AL55" t="str">
        <f>RTD("rtdtrading.rtdserver",, "WDOV24_F_0", "VAL")</f>
        <v>30/09/2024</v>
      </c>
      <c r="AM55">
        <f>RTD("rtdtrading.rtdserver",, "WDOV24_F_0", "CAB")</f>
        <v>0</v>
      </c>
      <c r="AN55" t="str">
        <f>RTD("rtdtrading.rtdserver",, "WDOV24_F_0", "EST")</f>
        <v>NONE</v>
      </c>
      <c r="AO55" t="str">
        <f>RTD("rtdtrading.rtdserver",, "WDOV24_F_0", "BLACK")</f>
        <v>-</v>
      </c>
      <c r="AP55" t="str">
        <f>RTD("rtdtrading.rtdserver",, "WDOV24_F_0", "IMPVT")</f>
        <v>-</v>
      </c>
      <c r="AQ55" t="str">
        <f>RTD("rtdtrading.rtdserver",, "WDOV24_F_0", "DELTA")</f>
        <v>-</v>
      </c>
      <c r="AR55" t="str">
        <f>RTD("rtdtrading.rtdserver",, "WDOV24_F_0", "GAMA")</f>
        <v>-</v>
      </c>
      <c r="AS55" t="str">
        <f>RTD("rtdtrading.rtdserver",, "WDOV24_F_0", "THETA")</f>
        <v>-</v>
      </c>
      <c r="AT55" t="str">
        <f>RTD("rtdtrading.rtdserver",, "WDOV24_F_0", "RHO")</f>
        <v>-</v>
      </c>
      <c r="AU55" t="str">
        <f>RTD("rtdtrading.rtdserver",, "WDOV24_F_0", "VEGA")</f>
        <v>-</v>
      </c>
      <c r="AV55" t="str">
        <f>RTD("rtdtrading.rtdserver",, "WDOV24_F_0", "VIA")</f>
        <v>-</v>
      </c>
      <c r="AW55" t="str">
        <f>RTD("rtdtrading.rtdserver",, "WDOV24_F_0", "VIB")</f>
        <v>-</v>
      </c>
      <c r="AX55" t="str">
        <f>RTD("rtdtrading.rtdserver",, "WDOV24_F_0", "DOBRAR")</f>
        <v>-</v>
      </c>
      <c r="AY55" t="str">
        <f>RTD("rtdtrading.rtdserver",, "WDOV24_F_0", "VIVH")</f>
        <v>-</v>
      </c>
      <c r="AZ55" t="str">
        <f>RTD("rtdtrading.rtdserver",, "WDOV24_F_0", "VINT")</f>
        <v>-</v>
      </c>
      <c r="BA55" t="str">
        <f>RTD("rtdtrading.rtdserver",, "WDOV24_F_0", "VEXT")</f>
        <v>-</v>
      </c>
    </row>
    <row r="56" spans="3:53" x14ac:dyDescent="0.25">
      <c r="C56" t="s">
        <v>313</v>
      </c>
      <c r="D56" t="str">
        <f>RTD("rtdtrading.rtdserver",, "HBSA3_B_0", "DAT")</f>
        <v>14/10/2025</v>
      </c>
      <c r="E56" t="str">
        <f>RTD("rtdtrading.rtdserver",, "HBSA3_B_0", "HOR")</f>
        <v>17:40:20</v>
      </c>
      <c r="F56">
        <f>RTD("rtdtrading.rtdserver",, "HBSA3_B_0", "ULT")</f>
        <v>3.79</v>
      </c>
      <c r="G56">
        <f>RTD("rtdtrading.rtdserver",, "HBSA3_B_0", "ABE")</f>
        <v>3.66</v>
      </c>
      <c r="H56">
        <f>RTD("rtdtrading.rtdserver",, "HBSA3_B_0", "MAX")</f>
        <v>3.8</v>
      </c>
      <c r="I56">
        <f>RTD("rtdtrading.rtdserver",, "HBSA3_B_0", "MIN")</f>
        <v>3.66</v>
      </c>
      <c r="J56">
        <f>RTD("rtdtrading.rtdserver",, "HBSA3_B_0", "FEC")</f>
        <v>3.6500000000000004</v>
      </c>
      <c r="K56">
        <f>RTD("rtdtrading.rtdserver",, "HBSA3_B_0", "PEX")</f>
        <v>0</v>
      </c>
      <c r="L56">
        <f>RTD("rtdtrading.rtdserver",, "HBSA3_B_0", "VAR")</f>
        <v>3.8356164383561557</v>
      </c>
      <c r="M56">
        <f>RTD("rtdtrading.rtdserver",, "HBSA3_B_0", "VARPTS")</f>
        <v>0.13999999999999968</v>
      </c>
      <c r="N56">
        <f>RTD("rtdtrading.rtdserver",, "HBSA3_B_0", "MED")</f>
        <v>3.7490305276251683</v>
      </c>
      <c r="O56" t="s">
        <v>314</v>
      </c>
      <c r="P56">
        <f>RTD("rtdtrading.rtdserver",, "HBSA3_B_0", "NEG")</f>
        <v>2828</v>
      </c>
      <c r="Q56">
        <f>RTD("rtdtrading.rtdserver",, "HBSA3_B_0", "QUL")</f>
        <v>0</v>
      </c>
      <c r="R56">
        <f>RTD("rtdtrading.rtdserver",, "HBSA3_B_0", "QTT")</f>
        <v>3858800</v>
      </c>
      <c r="S56">
        <f>RTD("rtdtrading.rtdserver",, "HBSA3_B_0", "VOL")</f>
        <v>14466759</v>
      </c>
      <c r="T56">
        <f>RTD("rtdtrading.rtdserver",, "HBSA3_B_0", "OCP")</f>
        <v>3.72</v>
      </c>
      <c r="U56">
        <f>RTD("rtdtrading.rtdserver",, "HBSA3_B_0", "OVD")</f>
        <v>3.8000000000000003</v>
      </c>
      <c r="V56">
        <f>RTD("rtdtrading.rtdserver",, "HBSA3_B_0", "VOC")</f>
        <v>1000</v>
      </c>
      <c r="W56">
        <f>RTD("rtdtrading.rtdserver",, "HBSA3_B_0", "VOV")</f>
        <v>101500</v>
      </c>
      <c r="X56">
        <f>RTD("rtdtrading.rtdserver",, "HBSA3_B_0", "AJU")</f>
        <v>0</v>
      </c>
      <c r="Y56">
        <f>RTD("rtdtrading.rtdserver",, "HBSA3_B_0", "AJA")</f>
        <v>0</v>
      </c>
      <c r="Z56">
        <f>RTD("rtdtrading.rtdserver",, "HBSA3_B_0", "PRT")</f>
        <v>0</v>
      </c>
      <c r="AA56">
        <f>RTD("rtdtrading.rtdserver",, "HBSA3_B_0", "QTE")</f>
        <v>0</v>
      </c>
      <c r="AB56">
        <f>RTD("rtdtrading.rtdserver",, "HBSA3_B_0", "VPJ")</f>
        <v>14466759</v>
      </c>
      <c r="AC56">
        <f>RTD("rtdtrading.rtdserver",, "HBSA3_B_0", "SEM")</f>
        <v>2.4324324324324285</v>
      </c>
      <c r="AD56">
        <f>RTD("rtdtrading.rtdserver",, "HBSA3_B_0", "MES")</f>
        <v>12.797619047619039</v>
      </c>
      <c r="AE56">
        <f>RTD("rtdtrading.rtdserver",, "HBSA3_B_0", "3M")</f>
        <v>8.5959885386819419</v>
      </c>
      <c r="AF56">
        <f>RTD("rtdtrading.rtdserver",, "HBSA3_B_0", "6M")</f>
        <v>67.699115044247776</v>
      </c>
      <c r="AG56">
        <f>RTD("rtdtrading.rtdserver",, "HBSA3_B_0", "12M")</f>
        <v>23.78743835124277</v>
      </c>
      <c r="AH56">
        <f>RTD("rtdtrading.rtdserver",, "HBSA3_B_0", "ANO")</f>
        <v>46.745653773183108</v>
      </c>
      <c r="AI56">
        <f>RTD("rtdtrading.rtdserver",, "HBSA3_B_0", "TRIM")</f>
        <v>12.797619047619039</v>
      </c>
      <c r="AJ56">
        <f>RTD("rtdtrading.rtdserver",, "HBSA3_B_0", "SEMES")</f>
        <v>5.2777777777777768</v>
      </c>
      <c r="AK56" t="str">
        <f>RTD("rtdtrading.rtdserver",, "HBSA3_B_0", "VEN")</f>
        <v>-</v>
      </c>
      <c r="AL56" t="str">
        <f>RTD("rtdtrading.rtdserver",, "HBSA3_B_0", "VAL")</f>
        <v>31/12/9999</v>
      </c>
      <c r="AM56">
        <f>RTD("rtdtrading.rtdserver",, "HBSA3_B_0", "CAB")</f>
        <v>0</v>
      </c>
      <c r="AN56" t="str">
        <f>RTD("rtdtrading.rtdserver",, "HBSA3_B_0", "EST")</f>
        <v>Pré-Fechamento</v>
      </c>
      <c r="AO56" t="str">
        <f>RTD("rtdtrading.rtdserver",, "HBSA3_B_0", "BLACK")</f>
        <v>-</v>
      </c>
      <c r="AP56" t="str">
        <f>RTD("rtdtrading.rtdserver",, "HBSA3_B_0", "IMPVT")</f>
        <v>-</v>
      </c>
      <c r="AQ56" t="str">
        <f>RTD("rtdtrading.rtdserver",, "HBSA3_B_0", "DELTA")</f>
        <v>-</v>
      </c>
      <c r="AR56" t="str">
        <f>RTD("rtdtrading.rtdserver",, "HBSA3_B_0", "GAMA")</f>
        <v>-</v>
      </c>
      <c r="AS56" t="str">
        <f>RTD("rtdtrading.rtdserver",, "HBSA3_B_0", "THETA")</f>
        <v>-</v>
      </c>
      <c r="AT56" t="str">
        <f>RTD("rtdtrading.rtdserver",, "HBSA3_B_0", "RHO")</f>
        <v>-</v>
      </c>
      <c r="AU56" t="str">
        <f>RTD("rtdtrading.rtdserver",, "HBSA3_B_0", "VEGA")</f>
        <v>-</v>
      </c>
      <c r="AV56" t="str">
        <f>RTD("rtdtrading.rtdserver",, "HBSA3_B_0", "VIA")</f>
        <v>-</v>
      </c>
      <c r="AW56" t="str">
        <f>RTD("rtdtrading.rtdserver",, "HBSA3_B_0", "VIB")</f>
        <v>-</v>
      </c>
      <c r="AX56" t="str">
        <f>RTD("rtdtrading.rtdserver",, "HBSA3_B_0", "DOBRAR")</f>
        <v>-</v>
      </c>
      <c r="AY56" t="str">
        <f>RTD("rtdtrading.rtdserver",, "HBSA3_B_0", "VIVH")</f>
        <v>-</v>
      </c>
      <c r="AZ56" t="str">
        <f>RTD("rtdtrading.rtdserver",, "HBSA3_B_0", "VINT")</f>
        <v>-</v>
      </c>
      <c r="BA56" t="str">
        <f>RTD("rtdtrading.rtdserver",, "HBSA3_B_0", "VEXT")</f>
        <v>-</v>
      </c>
    </row>
    <row r="57" spans="3:53" x14ac:dyDescent="0.25">
      <c r="C57" t="s">
        <v>317</v>
      </c>
      <c r="D57" t="str">
        <f>RTD("rtdtrading.rtdserver",, "GMAT3_B_0", "DAT")</f>
        <v>14/10/2025</v>
      </c>
      <c r="E57" t="str">
        <f>RTD("rtdtrading.rtdserver",, "GMAT3_B_0", "HOR")</f>
        <v>17:54:57</v>
      </c>
      <c r="F57">
        <f>RTD("rtdtrading.rtdserver",, "GMAT3_B_0", "ULT")</f>
        <v>6.2</v>
      </c>
      <c r="G57">
        <f>RTD("rtdtrading.rtdserver",, "GMAT3_B_0", "ABE")</f>
        <v>6.31</v>
      </c>
      <c r="H57">
        <f>RTD("rtdtrading.rtdserver",, "GMAT3_B_0", "MAX")</f>
        <v>6.31</v>
      </c>
      <c r="I57">
        <f>RTD("rtdtrading.rtdserver",, "GMAT3_B_0", "MIN")</f>
        <v>6.15</v>
      </c>
      <c r="J57">
        <f>RTD("rtdtrading.rtdserver",, "GMAT3_B_0", "FEC")</f>
        <v>6.3100000000000005</v>
      </c>
      <c r="K57">
        <f>RTD("rtdtrading.rtdserver",, "GMAT3_B_0", "PEX")</f>
        <v>0</v>
      </c>
      <c r="L57">
        <f>RTD("rtdtrading.rtdserver",, "GMAT3_B_0", "VAR")</f>
        <v>-1.7432646592710033</v>
      </c>
      <c r="M57">
        <f>RTD("rtdtrading.rtdserver",, "GMAT3_B_0", "VARPTS")</f>
        <v>-0.11000000000000032</v>
      </c>
      <c r="N57">
        <f>RTD("rtdtrading.rtdserver",, "GMAT3_B_0", "MED")</f>
        <v>6.1913732360254468</v>
      </c>
      <c r="O57" t="s">
        <v>318</v>
      </c>
      <c r="P57">
        <f>RTD("rtdtrading.rtdserver",, "GMAT3_B_0", "NEG")</f>
        <v>12969</v>
      </c>
      <c r="Q57">
        <f>RTD("rtdtrading.rtdserver",, "GMAT3_B_0", "QUL")</f>
        <v>0</v>
      </c>
      <c r="R57">
        <f>RTD("rtdtrading.rtdserver",, "GMAT3_B_0", "QTT")</f>
        <v>6193400</v>
      </c>
      <c r="S57">
        <f>RTD("rtdtrading.rtdserver",, "GMAT3_B_0", "VOL")</f>
        <v>38345651</v>
      </c>
      <c r="T57">
        <f>RTD("rtdtrading.rtdserver",, "GMAT3_B_0", "OCP")</f>
        <v>6.15</v>
      </c>
      <c r="U57">
        <f>RTD("rtdtrading.rtdserver",, "GMAT3_B_0", "OVD")</f>
        <v>6.25</v>
      </c>
      <c r="V57">
        <f>RTD("rtdtrading.rtdserver",, "GMAT3_B_0", "VOC")</f>
        <v>2400</v>
      </c>
      <c r="W57">
        <f>RTD("rtdtrading.rtdserver",, "GMAT3_B_0", "VOV")</f>
        <v>1000</v>
      </c>
      <c r="X57">
        <f>RTD("rtdtrading.rtdserver",, "GMAT3_B_0", "AJU")</f>
        <v>0</v>
      </c>
      <c r="Y57">
        <f>RTD("rtdtrading.rtdserver",, "GMAT3_B_0", "AJA")</f>
        <v>0</v>
      </c>
      <c r="Z57">
        <f>RTD("rtdtrading.rtdserver",, "GMAT3_B_0", "PRT")</f>
        <v>0</v>
      </c>
      <c r="AA57">
        <f>RTD("rtdtrading.rtdserver",, "GMAT3_B_0", "QTE")</f>
        <v>0</v>
      </c>
      <c r="AB57">
        <f>RTD("rtdtrading.rtdserver",, "GMAT3_B_0", "VPJ")</f>
        <v>38345651</v>
      </c>
      <c r="AC57">
        <f>RTD("rtdtrading.rtdserver",, "GMAT3_B_0", "SEM")</f>
        <v>-2.2082018927444884</v>
      </c>
      <c r="AD57">
        <f>RTD("rtdtrading.rtdserver",, "GMAT3_B_0", "MES")</f>
        <v>-10.791366906474821</v>
      </c>
      <c r="AE57">
        <f>RTD("rtdtrading.rtdserver",, "GMAT3_B_0", "3M")</f>
        <v>-19.280292674035596</v>
      </c>
      <c r="AF57">
        <f>RTD("rtdtrading.rtdserver",, "GMAT3_B_0", "6M")</f>
        <v>-16.768468674068014</v>
      </c>
      <c r="AG57">
        <f>RTD("rtdtrading.rtdserver",, "GMAT3_B_0", "12M")</f>
        <v>-12.351386120417891</v>
      </c>
      <c r="AH57">
        <f>RTD("rtdtrading.rtdserver",, "GMAT3_B_0", "ANO")</f>
        <v>-0.66490426980693884</v>
      </c>
      <c r="AI57">
        <f>RTD("rtdtrading.rtdserver",, "GMAT3_B_0", "TRIM")</f>
        <v>-10.791366906474821</v>
      </c>
      <c r="AJ57">
        <f>RTD("rtdtrading.rtdserver",, "GMAT3_B_0", "SEMES")</f>
        <v>-23.430321592649317</v>
      </c>
      <c r="AK57" t="str">
        <f>RTD("rtdtrading.rtdserver",, "GMAT3_B_0", "VEN")</f>
        <v>-</v>
      </c>
      <c r="AL57" t="str">
        <f>RTD("rtdtrading.rtdserver",, "GMAT3_B_0", "VAL")</f>
        <v>31/12/9999</v>
      </c>
      <c r="AM57">
        <f>RTD("rtdtrading.rtdserver",, "GMAT3_B_0", "CAB")</f>
        <v>0</v>
      </c>
      <c r="AN57" t="str">
        <f>RTD("rtdtrading.rtdserver",, "GMAT3_B_0", "EST")</f>
        <v>Pré-Fechamento</v>
      </c>
      <c r="AO57" t="str">
        <f>RTD("rtdtrading.rtdserver",, "GMAT3_B_0", "BLACK")</f>
        <v>-</v>
      </c>
      <c r="AP57" t="str">
        <f>RTD("rtdtrading.rtdserver",, "GMAT3_B_0", "IMPVT")</f>
        <v>-</v>
      </c>
      <c r="AQ57" t="str">
        <f>RTD("rtdtrading.rtdserver",, "GMAT3_B_0", "DELTA")</f>
        <v>-</v>
      </c>
      <c r="AR57" t="str">
        <f>RTD("rtdtrading.rtdserver",, "GMAT3_B_0", "GAMA")</f>
        <v>-</v>
      </c>
      <c r="AS57" t="str">
        <f>RTD("rtdtrading.rtdserver",, "GMAT3_B_0", "THETA")</f>
        <v>-</v>
      </c>
      <c r="AT57" t="str">
        <f>RTD("rtdtrading.rtdserver",, "GMAT3_B_0", "RHO")</f>
        <v>-</v>
      </c>
      <c r="AU57" t="str">
        <f>RTD("rtdtrading.rtdserver",, "GMAT3_B_0", "VEGA")</f>
        <v>-</v>
      </c>
      <c r="AV57" t="str">
        <f>RTD("rtdtrading.rtdserver",, "GMAT3_B_0", "VIA")</f>
        <v>-</v>
      </c>
      <c r="AW57" t="str">
        <f>RTD("rtdtrading.rtdserver",, "GMAT3_B_0", "VIB")</f>
        <v>-</v>
      </c>
      <c r="AX57" t="str">
        <f>RTD("rtdtrading.rtdserver",, "GMAT3_B_0", "DOBRAR")</f>
        <v>-</v>
      </c>
      <c r="AY57" t="str">
        <f>RTD("rtdtrading.rtdserver",, "GMAT3_B_0", "VIVH")</f>
        <v>-</v>
      </c>
      <c r="AZ57" t="str">
        <f>RTD("rtdtrading.rtdserver",, "GMAT3_B_0", "VINT")</f>
        <v>-</v>
      </c>
      <c r="BA57" t="str">
        <f>RTD("rtdtrading.rtdserver",, "GMAT3_B_0", "VEXT")</f>
        <v>-</v>
      </c>
    </row>
    <row r="58" spans="3:53" x14ac:dyDescent="0.25">
      <c r="C58" t="s">
        <v>321</v>
      </c>
      <c r="D58" t="str">
        <f>RTD("rtdtrading.rtdserver",, "RAIL3_B_0", "DAT")</f>
        <v>14/10/2025</v>
      </c>
      <c r="E58" t="str">
        <f>RTD("rtdtrading.rtdserver",, "RAIL3_B_0", "HOR")</f>
        <v>17:07:54</v>
      </c>
      <c r="F58">
        <f>RTD("rtdtrading.rtdserver",, "RAIL3_B_0", "ULT")</f>
        <v>15.370000000000001</v>
      </c>
      <c r="G58">
        <f>RTD("rtdtrading.rtdserver",, "RAIL3_B_0", "ABE")</f>
        <v>15.5</v>
      </c>
      <c r="H58">
        <f>RTD("rtdtrading.rtdserver",, "RAIL3_B_0", "MAX")</f>
        <v>15.52</v>
      </c>
      <c r="I58">
        <f>RTD("rtdtrading.rtdserver",, "RAIL3_B_0", "MIN")</f>
        <v>15.26</v>
      </c>
      <c r="J58">
        <f>RTD("rtdtrading.rtdserver",, "RAIL3_B_0", "FEC")</f>
        <v>15.47</v>
      </c>
      <c r="K58">
        <f>RTD("rtdtrading.rtdserver",, "RAIL3_B_0", "PEX")</f>
        <v>0</v>
      </c>
      <c r="L58">
        <f>RTD("rtdtrading.rtdserver",, "RAIL3_B_0", "VAR")</f>
        <v>-0.64641241111829117</v>
      </c>
      <c r="M58">
        <f>RTD("rtdtrading.rtdserver",, "RAIL3_B_0", "VARPTS")</f>
        <v>-9.9999999999999645E-2</v>
      </c>
      <c r="N58">
        <f>RTD("rtdtrading.rtdserver",, "RAIL3_B_0", "MED")</f>
        <v>15.373315062542323</v>
      </c>
      <c r="O58" t="s">
        <v>322</v>
      </c>
      <c r="P58">
        <f>RTD("rtdtrading.rtdserver",, "RAIL3_B_0", "NEG")</f>
        <v>9439</v>
      </c>
      <c r="Q58">
        <f>RTD("rtdtrading.rtdserver",, "RAIL3_B_0", "QUL")</f>
        <v>0</v>
      </c>
      <c r="R58">
        <f>RTD("rtdtrading.rtdserver",, "RAIL3_B_0", "QTT")</f>
        <v>7826700</v>
      </c>
      <c r="S58">
        <f>RTD("rtdtrading.rtdserver",, "RAIL3_B_0", "VOL")</f>
        <v>120322325</v>
      </c>
      <c r="T58">
        <f>RTD("rtdtrading.rtdserver",, "RAIL3_B_0", "OCP")</f>
        <v>15.3</v>
      </c>
      <c r="U58">
        <f>RTD("rtdtrading.rtdserver",, "RAIL3_B_0", "OVD")</f>
        <v>15.47</v>
      </c>
      <c r="V58">
        <f>RTD("rtdtrading.rtdserver",, "RAIL3_B_0", "VOC")</f>
        <v>200</v>
      </c>
      <c r="W58">
        <f>RTD("rtdtrading.rtdserver",, "RAIL3_B_0", "VOV")</f>
        <v>800</v>
      </c>
      <c r="X58">
        <f>RTD("rtdtrading.rtdserver",, "RAIL3_B_0", "AJU")</f>
        <v>0</v>
      </c>
      <c r="Y58">
        <f>RTD("rtdtrading.rtdserver",, "RAIL3_B_0", "AJA")</f>
        <v>0</v>
      </c>
      <c r="Z58">
        <f>RTD("rtdtrading.rtdserver",, "RAIL3_B_0", "PRT")</f>
        <v>0</v>
      </c>
      <c r="AA58">
        <f>RTD("rtdtrading.rtdserver",, "RAIL3_B_0", "QTE")</f>
        <v>0</v>
      </c>
      <c r="AB58">
        <f>RTD("rtdtrading.rtdserver",, "RAIL3_B_0", "VPJ")</f>
        <v>120322325</v>
      </c>
      <c r="AC58">
        <f>RTD("rtdtrading.rtdserver",, "RAIL3_B_0", "SEM")</f>
        <v>-1.0302640051513208</v>
      </c>
      <c r="AD58">
        <f>RTD("rtdtrading.rtdserver",, "RAIL3_B_0", "MES")</f>
        <v>-3.7570444583594216</v>
      </c>
      <c r="AE58">
        <f>RTD("rtdtrading.rtdserver",, "RAIL3_B_0", "3M")</f>
        <v>-11.615871190339272</v>
      </c>
      <c r="AF58">
        <f>RTD("rtdtrading.rtdserver",, "RAIL3_B_0", "6M")</f>
        <v>-9.7512139841580119</v>
      </c>
      <c r="AG58">
        <f>RTD("rtdtrading.rtdserver",, "RAIL3_B_0", "12M")</f>
        <v>-16.167142101330299</v>
      </c>
      <c r="AH58">
        <f>RTD("rtdtrading.rtdserver",, "RAIL3_B_0", "ANO")</f>
        <v>-10.105393676379409</v>
      </c>
      <c r="AI58">
        <f>RTD("rtdtrading.rtdserver",, "RAIL3_B_0", "TRIM")</f>
        <v>-3.7570444583594216</v>
      </c>
      <c r="AJ58">
        <f>RTD("rtdtrading.rtdserver",, "RAIL3_B_0", "SEMES")</f>
        <v>-17.053426875337291</v>
      </c>
      <c r="AK58" t="str">
        <f>RTD("rtdtrading.rtdserver",, "RAIL3_B_0", "VEN")</f>
        <v>-</v>
      </c>
      <c r="AL58" t="str">
        <f>RTD("rtdtrading.rtdserver",, "RAIL3_B_0", "VAL")</f>
        <v>31/12/9999</v>
      </c>
      <c r="AM58">
        <f>RTD("rtdtrading.rtdserver",, "RAIL3_B_0", "CAB")</f>
        <v>0</v>
      </c>
      <c r="AN58" t="str">
        <f>RTD("rtdtrading.rtdserver",, "RAIL3_B_0", "EST")</f>
        <v>Pré-Fechamento</v>
      </c>
      <c r="AO58" t="str">
        <f>RTD("rtdtrading.rtdserver",, "RAIL3_B_0", "BLACK")</f>
        <v>-</v>
      </c>
      <c r="AP58" t="str">
        <f>RTD("rtdtrading.rtdserver",, "RAIL3_B_0", "IMPVT")</f>
        <v>-</v>
      </c>
      <c r="AQ58" t="str">
        <f>RTD("rtdtrading.rtdserver",, "RAIL3_B_0", "DELTA")</f>
        <v>-</v>
      </c>
      <c r="AR58" t="str">
        <f>RTD("rtdtrading.rtdserver",, "RAIL3_B_0", "GAMA")</f>
        <v>-</v>
      </c>
      <c r="AS58" t="str">
        <f>RTD("rtdtrading.rtdserver",, "RAIL3_B_0", "THETA")</f>
        <v>-</v>
      </c>
      <c r="AT58" t="str">
        <f>RTD("rtdtrading.rtdserver",, "RAIL3_B_0", "RHO")</f>
        <v>-</v>
      </c>
      <c r="AU58" t="str">
        <f>RTD("rtdtrading.rtdserver",, "RAIL3_B_0", "VEGA")</f>
        <v>-</v>
      </c>
      <c r="AV58" t="str">
        <f>RTD("rtdtrading.rtdserver",, "RAIL3_B_0", "VIA")</f>
        <v>-</v>
      </c>
      <c r="AW58" t="str">
        <f>RTD("rtdtrading.rtdserver",, "RAIL3_B_0", "VIB")</f>
        <v>-</v>
      </c>
      <c r="AX58" t="str">
        <f>RTD("rtdtrading.rtdserver",, "RAIL3_B_0", "DOBRAR")</f>
        <v>-</v>
      </c>
      <c r="AY58" t="str">
        <f>RTD("rtdtrading.rtdserver",, "RAIL3_B_0", "VIVH")</f>
        <v>-</v>
      </c>
      <c r="AZ58" t="str">
        <f>RTD("rtdtrading.rtdserver",, "RAIL3_B_0", "VINT")</f>
        <v>-</v>
      </c>
      <c r="BA58" t="str">
        <f>RTD("rtdtrading.rtdserver",, "RAIL3_B_0", "VEXT")</f>
        <v>-</v>
      </c>
    </row>
    <row r="59" spans="3:53" x14ac:dyDescent="0.25">
      <c r="C59" t="s">
        <v>140</v>
      </c>
      <c r="D59" t="str">
        <f>RTD("rtdtrading.rtdserver",, "ASAI3_B_0", "DAT")</f>
        <v>14/10/2025</v>
      </c>
      <c r="E59" t="str">
        <f>RTD("rtdtrading.rtdserver",, "ASAI3_B_0", "HOR")</f>
        <v>17:07:45</v>
      </c>
      <c r="F59">
        <f>RTD("rtdtrading.rtdserver",, "ASAI3_B_0", "ULT")</f>
        <v>8.1900000000000013</v>
      </c>
      <c r="G59">
        <f>RTD("rtdtrading.rtdserver",, "ASAI3_B_0", "ABE")</f>
        <v>8.01</v>
      </c>
      <c r="H59">
        <f>RTD("rtdtrading.rtdserver",, "ASAI3_B_0", "MAX")</f>
        <v>8.2799999999999994</v>
      </c>
      <c r="I59">
        <f>RTD("rtdtrading.rtdserver",, "ASAI3_B_0", "MIN")</f>
        <v>7.94</v>
      </c>
      <c r="J59">
        <f>RTD("rtdtrading.rtdserver",, "ASAI3_B_0", "FEC")</f>
        <v>8.0500000000000007</v>
      </c>
      <c r="K59">
        <f>RTD("rtdtrading.rtdserver",, "ASAI3_B_0", "PEX")</f>
        <v>0</v>
      </c>
      <c r="L59">
        <f>RTD("rtdtrading.rtdserver",, "ASAI3_B_0", "VAR")</f>
        <v>1.7391304347826158</v>
      </c>
      <c r="M59">
        <f>RTD("rtdtrading.rtdserver",, "ASAI3_B_0", "VARPTS")</f>
        <v>0.14000000000000057</v>
      </c>
      <c r="N59">
        <f>RTD("rtdtrading.rtdserver",, "ASAI3_B_0", "MED")</f>
        <v>8.1801144180386895</v>
      </c>
      <c r="O59" t="s">
        <v>323</v>
      </c>
      <c r="P59">
        <f>RTD("rtdtrading.rtdserver",, "ASAI3_B_0", "NEG")</f>
        <v>20243</v>
      </c>
      <c r="Q59">
        <f>RTD("rtdtrading.rtdserver",, "ASAI3_B_0", "QUL")</f>
        <v>0</v>
      </c>
      <c r="R59">
        <f>RTD("rtdtrading.rtdserver",, "ASAI3_B_0", "QTT")</f>
        <v>16107600</v>
      </c>
      <c r="S59">
        <f>RTD("rtdtrading.rtdserver",, "ASAI3_B_0", "VOL")</f>
        <v>131762011</v>
      </c>
      <c r="T59">
        <f>RTD("rtdtrading.rtdserver",, "ASAI3_B_0", "OCP")</f>
        <v>8.08</v>
      </c>
      <c r="U59">
        <f>RTD("rtdtrading.rtdserver",, "ASAI3_B_0", "OVD")</f>
        <v>8.25</v>
      </c>
      <c r="V59">
        <f>RTD("rtdtrading.rtdserver",, "ASAI3_B_0", "VOC")</f>
        <v>200</v>
      </c>
      <c r="W59">
        <f>RTD("rtdtrading.rtdserver",, "ASAI3_B_0", "VOV")</f>
        <v>2500</v>
      </c>
      <c r="X59">
        <f>RTD("rtdtrading.rtdserver",, "ASAI3_B_0", "AJU")</f>
        <v>0</v>
      </c>
      <c r="Y59">
        <f>RTD("rtdtrading.rtdserver",, "ASAI3_B_0", "AJA")</f>
        <v>0</v>
      </c>
      <c r="Z59">
        <f>RTD("rtdtrading.rtdserver",, "ASAI3_B_0", "PRT")</f>
        <v>0</v>
      </c>
      <c r="AA59">
        <f>RTD("rtdtrading.rtdserver",, "ASAI3_B_0", "QTE")</f>
        <v>0</v>
      </c>
      <c r="AB59">
        <f>RTD("rtdtrading.rtdserver",, "ASAI3_B_0", "VPJ")</f>
        <v>131762011</v>
      </c>
      <c r="AC59">
        <f>RTD("rtdtrading.rtdserver",, "ASAI3_B_0", "SEM")</f>
        <v>-0.36496350364962721</v>
      </c>
      <c r="AD59">
        <f>RTD("rtdtrading.rtdserver",, "ASAI3_B_0", "MES")</f>
        <v>-13.880126182965286</v>
      </c>
      <c r="AE59">
        <f>RTD("rtdtrading.rtdserver",, "ASAI3_B_0", "3M")</f>
        <v>-17.272727272727263</v>
      </c>
      <c r="AF59">
        <f>RTD("rtdtrading.rtdserver",, "ASAI3_B_0", "6M")</f>
        <v>-1.1693154255511682</v>
      </c>
      <c r="AG59">
        <f>RTD("rtdtrading.rtdserver",, "ASAI3_B_0", "12M")</f>
        <v>23.781455452278411</v>
      </c>
      <c r="AH59">
        <f>RTD("rtdtrading.rtdserver",, "ASAI3_B_0", "ANO")</f>
        <v>47.745927516100537</v>
      </c>
      <c r="AI59">
        <f>RTD("rtdtrading.rtdserver",, "ASAI3_B_0", "TRIM")</f>
        <v>-13.880126182965286</v>
      </c>
      <c r="AJ59">
        <f>RTD("rtdtrading.rtdserver",, "ASAI3_B_0", "SEMES")</f>
        <v>-27.264653641207804</v>
      </c>
      <c r="AK59" t="str">
        <f>RTD("rtdtrading.rtdserver",, "ASAI3_B_0", "VEN")</f>
        <v>-</v>
      </c>
      <c r="AL59" t="str">
        <f>RTD("rtdtrading.rtdserver",, "ASAI3_B_0", "VAL")</f>
        <v>31/12/9999</v>
      </c>
      <c r="AM59">
        <f>RTD("rtdtrading.rtdserver",, "ASAI3_B_0", "CAB")</f>
        <v>0</v>
      </c>
      <c r="AN59" t="str">
        <f>RTD("rtdtrading.rtdserver",, "ASAI3_B_0", "EST")</f>
        <v>Pré-Fechamento</v>
      </c>
      <c r="AO59" t="str">
        <f>RTD("rtdtrading.rtdserver",, "ASAI3_B_0", "BLACK")</f>
        <v>-</v>
      </c>
      <c r="AP59" t="str">
        <f>RTD("rtdtrading.rtdserver",, "ASAI3_B_0", "IMPVT")</f>
        <v>-</v>
      </c>
      <c r="AQ59" t="str">
        <f>RTD("rtdtrading.rtdserver",, "ASAI3_B_0", "DELTA")</f>
        <v>-</v>
      </c>
      <c r="AR59" t="str">
        <f>RTD("rtdtrading.rtdserver",, "ASAI3_B_0", "GAMA")</f>
        <v>-</v>
      </c>
      <c r="AS59" t="str">
        <f>RTD("rtdtrading.rtdserver",, "ASAI3_B_0", "THETA")</f>
        <v>-</v>
      </c>
      <c r="AT59" t="str">
        <f>RTD("rtdtrading.rtdserver",, "ASAI3_B_0", "RHO")</f>
        <v>-</v>
      </c>
      <c r="AU59" t="str">
        <f>RTD("rtdtrading.rtdserver",, "ASAI3_B_0", "VEGA")</f>
        <v>-</v>
      </c>
      <c r="AV59" t="str">
        <f>RTD("rtdtrading.rtdserver",, "ASAI3_B_0", "VIA")</f>
        <v>-</v>
      </c>
      <c r="AW59" t="str">
        <f>RTD("rtdtrading.rtdserver",, "ASAI3_B_0", "VIB")</f>
        <v>-</v>
      </c>
      <c r="AX59" t="str">
        <f>RTD("rtdtrading.rtdserver",, "ASAI3_B_0", "DOBRAR")</f>
        <v>-</v>
      </c>
      <c r="AY59" t="str">
        <f>RTD("rtdtrading.rtdserver",, "ASAI3_B_0", "VIVH")</f>
        <v>-</v>
      </c>
      <c r="AZ59" t="str">
        <f>RTD("rtdtrading.rtdserver",, "ASAI3_B_0", "VINT")</f>
        <v>-</v>
      </c>
      <c r="BA59" t="str">
        <f>RTD("rtdtrading.rtdserver",, "ASAI3_B_0", "VEXT")</f>
        <v>-</v>
      </c>
    </row>
    <row r="60" spans="3:53" x14ac:dyDescent="0.25">
      <c r="C60" t="s">
        <v>209</v>
      </c>
      <c r="D60" t="str">
        <f>RTD("rtdtrading.rtdserver",, "CSAN3_B_0", "DAT")</f>
        <v>14/10/2025</v>
      </c>
      <c r="E60" t="str">
        <f>RTD("rtdtrading.rtdserver",, "CSAN3_B_0", "HOR")</f>
        <v>17:07:00</v>
      </c>
      <c r="F60">
        <f>RTD("rtdtrading.rtdserver",, "CSAN3_B_0", "ULT")</f>
        <v>5.88</v>
      </c>
      <c r="G60">
        <f>RTD("rtdtrading.rtdserver",, "CSAN3_B_0", "ABE")</f>
        <v>5.85</v>
      </c>
      <c r="H60">
        <f>RTD("rtdtrading.rtdserver",, "CSAN3_B_0", "MAX")</f>
        <v>5.93</v>
      </c>
      <c r="I60">
        <f>RTD("rtdtrading.rtdserver",, "CSAN3_B_0", "MIN")</f>
        <v>5.78</v>
      </c>
      <c r="J60">
        <f>RTD("rtdtrading.rtdserver",, "CSAN3_B_0", "FEC")</f>
        <v>5.87</v>
      </c>
      <c r="K60">
        <f>RTD("rtdtrading.rtdserver",, "CSAN3_B_0", "PEX")</f>
        <v>0</v>
      </c>
      <c r="L60">
        <f>RTD("rtdtrading.rtdserver",, "CSAN3_B_0", "VAR")</f>
        <v>0.17035775127767949</v>
      </c>
      <c r="M60">
        <f>RTD("rtdtrading.rtdserver",, "CSAN3_B_0", "VARPTS")</f>
        <v>9.9999999999997868E-3</v>
      </c>
      <c r="N60">
        <f>RTD("rtdtrading.rtdserver",, "CSAN3_B_0", "MED")</f>
        <v>5.8706044415050993</v>
      </c>
      <c r="O60" t="s">
        <v>326</v>
      </c>
      <c r="P60">
        <f>RTD("rtdtrading.rtdserver",, "CSAN3_B_0", "NEG")</f>
        <v>7650</v>
      </c>
      <c r="Q60">
        <f>RTD("rtdtrading.rtdserver",, "CSAN3_B_0", "QUL")</f>
        <v>0</v>
      </c>
      <c r="R60">
        <f>RTD("rtdtrading.rtdserver",, "CSAN3_B_0", "QTT")</f>
        <v>11491600</v>
      </c>
      <c r="S60">
        <f>RTD("rtdtrading.rtdserver",, "CSAN3_B_0", "VOL")</f>
        <v>67462638</v>
      </c>
      <c r="T60">
        <f>RTD("rtdtrading.rtdserver",, "CSAN3_B_0", "OCP")</f>
        <v>5.84</v>
      </c>
      <c r="U60">
        <f>RTD("rtdtrading.rtdserver",, "CSAN3_B_0", "OVD")</f>
        <v>5.94</v>
      </c>
      <c r="V60">
        <f>RTD("rtdtrading.rtdserver",, "CSAN3_B_0", "VOC")</f>
        <v>3100</v>
      </c>
      <c r="W60">
        <f>RTD("rtdtrading.rtdserver",, "CSAN3_B_0", "VOV")</f>
        <v>100</v>
      </c>
      <c r="X60">
        <f>RTD("rtdtrading.rtdserver",, "CSAN3_B_0", "AJU")</f>
        <v>0</v>
      </c>
      <c r="Y60">
        <f>RTD("rtdtrading.rtdserver",, "CSAN3_B_0", "AJA")</f>
        <v>0</v>
      </c>
      <c r="Z60">
        <f>RTD("rtdtrading.rtdserver",, "CSAN3_B_0", "PRT")</f>
        <v>0</v>
      </c>
      <c r="AA60">
        <f>RTD("rtdtrading.rtdserver",, "CSAN3_B_0", "QTE")</f>
        <v>0</v>
      </c>
      <c r="AB60">
        <f>RTD("rtdtrading.rtdserver",, "CSAN3_B_0", "VPJ")</f>
        <v>67462638</v>
      </c>
      <c r="AC60">
        <f>RTD("rtdtrading.rtdserver",, "CSAN3_B_0", "SEM")</f>
        <v>0.17035775127767949</v>
      </c>
      <c r="AD60">
        <f>RTD("rtdtrading.rtdserver",, "CSAN3_B_0", "MES")</f>
        <v>-4.7001620745542958</v>
      </c>
      <c r="AE60">
        <f>RTD("rtdtrading.rtdserver",, "CSAN3_B_0", "3M")</f>
        <v>-6.3694267515923624</v>
      </c>
      <c r="AF60">
        <f>RTD("rtdtrading.rtdserver",, "CSAN3_B_0", "6M")</f>
        <v>-16.47727272727273</v>
      </c>
      <c r="AG60">
        <f>RTD("rtdtrading.rtdserver",, "CSAN3_B_0", "12M")</f>
        <v>-51.404958677685954</v>
      </c>
      <c r="AH60">
        <f>RTD("rtdtrading.rtdserver",, "CSAN3_B_0", "ANO")</f>
        <v>-27.941176470588236</v>
      </c>
      <c r="AI60">
        <f>RTD("rtdtrading.rtdserver",, "CSAN3_B_0", "TRIM")</f>
        <v>-4.7001620745542958</v>
      </c>
      <c r="AJ60">
        <f>RTD("rtdtrading.rtdserver",, "CSAN3_B_0", "SEMES")</f>
        <v>-14.28571428571429</v>
      </c>
      <c r="AK60" t="str">
        <f>RTD("rtdtrading.rtdserver",, "CSAN3_B_0", "VEN")</f>
        <v>-</v>
      </c>
      <c r="AL60" t="str">
        <f>RTD("rtdtrading.rtdserver",, "CSAN3_B_0", "VAL")</f>
        <v>31/12/9999</v>
      </c>
      <c r="AM60">
        <f>RTD("rtdtrading.rtdserver",, "CSAN3_B_0", "CAB")</f>
        <v>0</v>
      </c>
      <c r="AN60" t="str">
        <f>RTD("rtdtrading.rtdserver",, "CSAN3_B_0", "EST")</f>
        <v>Pré-Fechamento</v>
      </c>
      <c r="AO60" t="str">
        <f>RTD("rtdtrading.rtdserver",, "CSAN3_B_0", "BLACK")</f>
        <v>-</v>
      </c>
      <c r="AP60" t="str">
        <f>RTD("rtdtrading.rtdserver",, "CSAN3_B_0", "IMPVT")</f>
        <v>-</v>
      </c>
      <c r="AQ60" t="str">
        <f>RTD("rtdtrading.rtdserver",, "CSAN3_B_0", "DELTA")</f>
        <v>-</v>
      </c>
      <c r="AR60" t="str">
        <f>RTD("rtdtrading.rtdserver",, "CSAN3_B_0", "GAMA")</f>
        <v>-</v>
      </c>
      <c r="AS60" t="str">
        <f>RTD("rtdtrading.rtdserver",, "CSAN3_B_0", "THETA")</f>
        <v>-</v>
      </c>
      <c r="AT60" t="str">
        <f>RTD("rtdtrading.rtdserver",, "CSAN3_B_0", "RHO")</f>
        <v>-</v>
      </c>
      <c r="AU60" t="str">
        <f>RTD("rtdtrading.rtdserver",, "CSAN3_B_0", "VEGA")</f>
        <v>-</v>
      </c>
      <c r="AV60" t="str">
        <f>RTD("rtdtrading.rtdserver",, "CSAN3_B_0", "VIA")</f>
        <v>-</v>
      </c>
      <c r="AW60" t="str">
        <f>RTD("rtdtrading.rtdserver",, "CSAN3_B_0", "VIB")</f>
        <v>-</v>
      </c>
      <c r="AX60" t="str">
        <f>RTD("rtdtrading.rtdserver",, "CSAN3_B_0", "DOBRAR")</f>
        <v>-</v>
      </c>
      <c r="AY60" t="str">
        <f>RTD("rtdtrading.rtdserver",, "CSAN3_B_0", "VIVH")</f>
        <v>-</v>
      </c>
      <c r="AZ60" t="str">
        <f>RTD("rtdtrading.rtdserver",, "CSAN3_B_0", "VINT")</f>
        <v>-</v>
      </c>
      <c r="BA60" t="str">
        <f>RTD("rtdtrading.rtdserver",, "CSAN3_B_0", "VEXT")</f>
        <v>-</v>
      </c>
    </row>
    <row r="61" spans="3:53" x14ac:dyDescent="0.25">
      <c r="C61" t="s">
        <v>328</v>
      </c>
      <c r="D61" t="str">
        <f>RTD("rtdtrading.rtdserver",, "CRFB3_B_0", "DAT")</f>
        <v>30/12/1899</v>
      </c>
      <c r="E61" t="str">
        <f>RTD("rtdtrading.rtdserver",, "CRFB3_B_0", "HOR")</f>
        <v>00:00:00</v>
      </c>
      <c r="F61">
        <f>RTD("rtdtrading.rtdserver",, "CRFB3_B_0", "ULT")</f>
        <v>0</v>
      </c>
      <c r="G61">
        <f>RTD("rtdtrading.rtdserver",, "CRFB3_B_0", "ABE")</f>
        <v>0</v>
      </c>
      <c r="H61">
        <f>RTD("rtdtrading.rtdserver",, "CRFB3_B_0", "MAX")</f>
        <v>0</v>
      </c>
      <c r="I61">
        <f>RTD("rtdtrading.rtdserver",, "CRFB3_B_0", "MIN")</f>
        <v>0</v>
      </c>
      <c r="J61">
        <f>RTD("rtdtrading.rtdserver",, "CRFB3_B_0", "FEC")</f>
        <v>0</v>
      </c>
      <c r="K61">
        <f>RTD("rtdtrading.rtdserver",, "CRFB3_B_0", "PEX")</f>
        <v>0</v>
      </c>
      <c r="L61">
        <f>RTD("rtdtrading.rtdserver",, "CRFB3_B_0", "VAR")</f>
        <v>0</v>
      </c>
      <c r="M61">
        <f>RTD("rtdtrading.rtdserver",, "CRFB3_B_0", "VARPTS")</f>
        <v>0</v>
      </c>
      <c r="N61">
        <f>RTD("rtdtrading.rtdserver",, "CRFB3_B_0", "MED")</f>
        <v>0</v>
      </c>
      <c r="O61" t="s">
        <v>329</v>
      </c>
      <c r="P61">
        <f>RTD("rtdtrading.rtdserver",, "CRFB3_B_0", "NEG")</f>
        <v>0</v>
      </c>
      <c r="Q61">
        <f>RTD("rtdtrading.rtdserver",, "CRFB3_B_0", "QUL")</f>
        <v>0</v>
      </c>
      <c r="R61">
        <f>RTD("rtdtrading.rtdserver",, "CRFB3_B_0", "QTT")</f>
        <v>0</v>
      </c>
      <c r="S61">
        <f>RTD("rtdtrading.rtdserver",, "CRFB3_B_0", "VOL")</f>
        <v>0</v>
      </c>
      <c r="T61">
        <f>RTD("rtdtrading.rtdserver",, "CRFB3_B_0", "OCP")</f>
        <v>0</v>
      </c>
      <c r="U61">
        <f>RTD("rtdtrading.rtdserver",, "CRFB3_B_0", "OVD")</f>
        <v>0</v>
      </c>
      <c r="V61">
        <f>RTD("rtdtrading.rtdserver",, "CRFB3_B_0", "VOC")</f>
        <v>0</v>
      </c>
      <c r="W61">
        <f>RTD("rtdtrading.rtdserver",, "CRFB3_B_0", "VOV")</f>
        <v>0</v>
      </c>
      <c r="X61">
        <f>RTD("rtdtrading.rtdserver",, "CRFB3_B_0", "AJU")</f>
        <v>0</v>
      </c>
      <c r="Y61">
        <f>RTD("rtdtrading.rtdserver",, "CRFB3_B_0", "AJA")</f>
        <v>0</v>
      </c>
      <c r="Z61">
        <f>RTD("rtdtrading.rtdserver",, "CRFB3_B_0", "PRT")</f>
        <v>0</v>
      </c>
      <c r="AA61">
        <f>RTD("rtdtrading.rtdserver",, "CRFB3_B_0", "QTE")</f>
        <v>0</v>
      </c>
      <c r="AB61">
        <f>RTD("rtdtrading.rtdserver",, "CRFB3_B_0", "VPJ")</f>
        <v>0</v>
      </c>
      <c r="AC61">
        <f>RTD("rtdtrading.rtdserver",, "CRFB3_B_0", "SEM")</f>
        <v>0</v>
      </c>
      <c r="AD61">
        <f>RTD("rtdtrading.rtdserver",, "CRFB3_B_0", "MES")</f>
        <v>0</v>
      </c>
      <c r="AE61">
        <f>RTD("rtdtrading.rtdserver",, "CRFB3_B_0", "3M")</f>
        <v>0</v>
      </c>
      <c r="AF61">
        <f>RTD("rtdtrading.rtdserver",, "CRFB3_B_0", "6M")</f>
        <v>0</v>
      </c>
      <c r="AG61">
        <f>RTD("rtdtrading.rtdserver",, "CRFB3_B_0", "12M")</f>
        <v>0</v>
      </c>
      <c r="AH61">
        <f>RTD("rtdtrading.rtdserver",, "CRFB3_B_0", "ANO")</f>
        <v>0</v>
      </c>
      <c r="AI61">
        <f>RTD("rtdtrading.rtdserver",, "CRFB3_B_0", "TRIM")</f>
        <v>0</v>
      </c>
      <c r="AJ61">
        <f>RTD("rtdtrading.rtdserver",, "CRFB3_B_0", "SEMES")</f>
        <v>0</v>
      </c>
      <c r="AK61" t="str">
        <f>RTD("rtdtrading.rtdserver",, "CRFB3_B_0", "VEN")</f>
        <v>-</v>
      </c>
      <c r="AL61" t="str">
        <f>RTD("rtdtrading.rtdserver",, "CRFB3_B_0", "VAL")</f>
        <v>31/12/9999</v>
      </c>
      <c r="AM61">
        <f>RTD("rtdtrading.rtdserver",, "CRFB3_B_0", "CAB")</f>
        <v>0</v>
      </c>
      <c r="AN61" t="str">
        <f>RTD("rtdtrading.rtdserver",, "CRFB3_B_0", "EST")</f>
        <v>NONE</v>
      </c>
      <c r="AO61" t="str">
        <f>RTD("rtdtrading.rtdserver",, "CRFB3_B_0", "BLACK")</f>
        <v>-</v>
      </c>
      <c r="AP61" t="str">
        <f>RTD("rtdtrading.rtdserver",, "CRFB3_B_0", "IMPVT")</f>
        <v>-</v>
      </c>
      <c r="AQ61" t="str">
        <f>RTD("rtdtrading.rtdserver",, "CRFB3_B_0", "DELTA")</f>
        <v>-</v>
      </c>
      <c r="AR61" t="str">
        <f>RTD("rtdtrading.rtdserver",, "CRFB3_B_0", "GAMA")</f>
        <v>-</v>
      </c>
      <c r="AS61" t="str">
        <f>RTD("rtdtrading.rtdserver",, "CRFB3_B_0", "THETA")</f>
        <v>-</v>
      </c>
      <c r="AT61" t="str">
        <f>RTD("rtdtrading.rtdserver",, "CRFB3_B_0", "RHO")</f>
        <v>-</v>
      </c>
      <c r="AU61" t="str">
        <f>RTD("rtdtrading.rtdserver",, "CRFB3_B_0", "VEGA")</f>
        <v>-</v>
      </c>
      <c r="AV61" t="str">
        <f>RTD("rtdtrading.rtdserver",, "CRFB3_B_0", "VIA")</f>
        <v>-</v>
      </c>
      <c r="AW61" t="str">
        <f>RTD("rtdtrading.rtdserver",, "CRFB3_B_0", "VIB")</f>
        <v>-</v>
      </c>
      <c r="AX61" t="str">
        <f>RTD("rtdtrading.rtdserver",, "CRFB3_B_0", "DOBRAR")</f>
        <v>-</v>
      </c>
      <c r="AY61" t="str">
        <f>RTD("rtdtrading.rtdserver",, "CRFB3_B_0", "VIVH")</f>
        <v>-</v>
      </c>
      <c r="AZ61" t="str">
        <f>RTD("rtdtrading.rtdserver",, "CRFB3_B_0", "VINT")</f>
        <v>-</v>
      </c>
      <c r="BA61" t="str">
        <f>RTD("rtdtrading.rtdserver",, "CRFB3_B_0", "VEXT")</f>
        <v>-</v>
      </c>
    </row>
    <row r="62" spans="3:53" x14ac:dyDescent="0.25">
      <c r="C62" t="s">
        <v>332</v>
      </c>
      <c r="D62" t="str">
        <f>RTD("rtdtrading.rtdserver",, "JBSS3_B_0", "DAT")</f>
        <v>30/12/1899</v>
      </c>
      <c r="E62" t="str">
        <f>RTD("rtdtrading.rtdserver",, "JBSS3_B_0", "HOR")</f>
        <v>00:00:00</v>
      </c>
      <c r="F62">
        <f>RTD("rtdtrading.rtdserver",, "JBSS3_B_0", "ULT")</f>
        <v>0</v>
      </c>
      <c r="G62">
        <f>RTD("rtdtrading.rtdserver",, "JBSS3_B_0", "ABE")</f>
        <v>0</v>
      </c>
      <c r="H62">
        <f>RTD("rtdtrading.rtdserver",, "JBSS3_B_0", "MAX")</f>
        <v>0</v>
      </c>
      <c r="I62">
        <f>RTD("rtdtrading.rtdserver",, "JBSS3_B_0", "MIN")</f>
        <v>0</v>
      </c>
      <c r="J62">
        <f>RTD("rtdtrading.rtdserver",, "JBSS3_B_0", "FEC")</f>
        <v>0</v>
      </c>
      <c r="K62">
        <f>RTD("rtdtrading.rtdserver",, "JBSS3_B_0", "PEX")</f>
        <v>0</v>
      </c>
      <c r="L62">
        <f>RTD("rtdtrading.rtdserver",, "JBSS3_B_0", "VAR")</f>
        <v>0</v>
      </c>
      <c r="M62">
        <f>RTD("rtdtrading.rtdserver",, "JBSS3_B_0", "VARPTS")</f>
        <v>0</v>
      </c>
      <c r="N62">
        <f>RTD("rtdtrading.rtdserver",, "JBSS3_B_0", "MED")</f>
        <v>0</v>
      </c>
      <c r="O62" t="s">
        <v>333</v>
      </c>
      <c r="P62">
        <f>RTD("rtdtrading.rtdserver",, "JBSS3_B_0", "NEG")</f>
        <v>0</v>
      </c>
      <c r="Q62">
        <f>RTD("rtdtrading.rtdserver",, "JBSS3_B_0", "QUL")</f>
        <v>0</v>
      </c>
      <c r="R62">
        <f>RTD("rtdtrading.rtdserver",, "JBSS3_B_0", "QTT")</f>
        <v>0</v>
      </c>
      <c r="S62">
        <f>RTD("rtdtrading.rtdserver",, "JBSS3_B_0", "VOL")</f>
        <v>0</v>
      </c>
      <c r="T62">
        <f>RTD("rtdtrading.rtdserver",, "JBSS3_B_0", "OCP")</f>
        <v>0</v>
      </c>
      <c r="U62">
        <f>RTD("rtdtrading.rtdserver",, "JBSS3_B_0", "OVD")</f>
        <v>0</v>
      </c>
      <c r="V62">
        <f>RTD("rtdtrading.rtdserver",, "JBSS3_B_0", "VOC")</f>
        <v>0</v>
      </c>
      <c r="W62">
        <f>RTD("rtdtrading.rtdserver",, "JBSS3_B_0", "VOV")</f>
        <v>0</v>
      </c>
      <c r="X62">
        <f>RTD("rtdtrading.rtdserver",, "JBSS3_B_0", "AJU")</f>
        <v>0</v>
      </c>
      <c r="Y62">
        <f>RTD("rtdtrading.rtdserver",, "JBSS3_B_0", "AJA")</f>
        <v>0</v>
      </c>
      <c r="Z62">
        <f>RTD("rtdtrading.rtdserver",, "JBSS3_B_0", "PRT")</f>
        <v>0</v>
      </c>
      <c r="AA62">
        <f>RTD("rtdtrading.rtdserver",, "JBSS3_B_0", "QTE")</f>
        <v>0</v>
      </c>
      <c r="AB62">
        <f>RTD("rtdtrading.rtdserver",, "JBSS3_B_0", "VPJ")</f>
        <v>0</v>
      </c>
      <c r="AC62">
        <f>RTD("rtdtrading.rtdserver",, "JBSS3_B_0", "SEM")</f>
        <v>0</v>
      </c>
      <c r="AD62">
        <f>RTD("rtdtrading.rtdserver",, "JBSS3_B_0", "MES")</f>
        <v>0</v>
      </c>
      <c r="AE62">
        <f>RTD("rtdtrading.rtdserver",, "JBSS3_B_0", "3M")</f>
        <v>0</v>
      </c>
      <c r="AF62">
        <f>RTD("rtdtrading.rtdserver",, "JBSS3_B_0", "6M")</f>
        <v>0</v>
      </c>
      <c r="AG62">
        <f>RTD("rtdtrading.rtdserver",, "JBSS3_B_0", "12M")</f>
        <v>0</v>
      </c>
      <c r="AH62">
        <f>RTD("rtdtrading.rtdserver",, "JBSS3_B_0", "ANO")</f>
        <v>0</v>
      </c>
      <c r="AI62">
        <f>RTD("rtdtrading.rtdserver",, "JBSS3_B_0", "TRIM")</f>
        <v>0</v>
      </c>
      <c r="AJ62">
        <f>RTD("rtdtrading.rtdserver",, "JBSS3_B_0", "SEMES")</f>
        <v>0</v>
      </c>
      <c r="AK62" t="str">
        <f>RTD("rtdtrading.rtdserver",, "JBSS3_B_0", "VEN")</f>
        <v>-</v>
      </c>
      <c r="AL62" t="str">
        <f>RTD("rtdtrading.rtdserver",, "JBSS3_B_0", "VAL")</f>
        <v>31/12/9999</v>
      </c>
      <c r="AM62">
        <f>RTD("rtdtrading.rtdserver",, "JBSS3_B_0", "CAB")</f>
        <v>0</v>
      </c>
      <c r="AN62" t="str">
        <f>RTD("rtdtrading.rtdserver",, "JBSS3_B_0", "EST")</f>
        <v>NONE</v>
      </c>
      <c r="AO62" t="str">
        <f>RTD("rtdtrading.rtdserver",, "JBSS3_B_0", "BLACK")</f>
        <v>-</v>
      </c>
      <c r="AP62" t="str">
        <f>RTD("rtdtrading.rtdserver",, "JBSS3_B_0", "IMPVT")</f>
        <v>-</v>
      </c>
      <c r="AQ62" t="str">
        <f>RTD("rtdtrading.rtdserver",, "JBSS3_B_0", "DELTA")</f>
        <v>-</v>
      </c>
      <c r="AR62" t="str">
        <f>RTD("rtdtrading.rtdserver",, "JBSS3_B_0", "GAMA")</f>
        <v>-</v>
      </c>
      <c r="AS62" t="str">
        <f>RTD("rtdtrading.rtdserver",, "JBSS3_B_0", "THETA")</f>
        <v>-</v>
      </c>
      <c r="AT62" t="str">
        <f>RTD("rtdtrading.rtdserver",, "JBSS3_B_0", "RHO")</f>
        <v>-</v>
      </c>
      <c r="AU62" t="str">
        <f>RTD("rtdtrading.rtdserver",, "JBSS3_B_0", "VEGA")</f>
        <v>-</v>
      </c>
      <c r="AV62" t="str">
        <f>RTD("rtdtrading.rtdserver",, "JBSS3_B_0", "VIA")</f>
        <v>-</v>
      </c>
      <c r="AW62" t="str">
        <f>RTD("rtdtrading.rtdserver",, "JBSS3_B_0", "VIB")</f>
        <v>-</v>
      </c>
      <c r="AX62" t="str">
        <f>RTD("rtdtrading.rtdserver",, "JBSS3_B_0", "DOBRAR")</f>
        <v>-</v>
      </c>
      <c r="AY62" t="str">
        <f>RTD("rtdtrading.rtdserver",, "JBSS3_B_0", "VIVH")</f>
        <v>-</v>
      </c>
      <c r="AZ62" t="str">
        <f>RTD("rtdtrading.rtdserver",, "JBSS3_B_0", "VINT")</f>
        <v>-</v>
      </c>
      <c r="BA62" t="str">
        <f>RTD("rtdtrading.rtdserver",, "JBSS3_B_0", "VEXT")</f>
        <v>-</v>
      </c>
    </row>
    <row r="63" spans="3:53" x14ac:dyDescent="0.25">
      <c r="C63" t="s">
        <v>336</v>
      </c>
      <c r="D63" t="str">
        <f>RTD("rtdtrading.rtdserver",, "RCSL3_B_0", "DAT")</f>
        <v>14/10/2025</v>
      </c>
      <c r="E63" t="str">
        <f>RTD("rtdtrading.rtdserver",, "RCSL3_B_0", "HOR")</f>
        <v>17:05:00</v>
      </c>
      <c r="F63">
        <f>RTD("rtdtrading.rtdserver",, "RCSL3_B_0", "ULT")</f>
        <v>1.47</v>
      </c>
      <c r="G63">
        <f>RTD("rtdtrading.rtdserver",, "RCSL3_B_0", "ABE")</f>
        <v>1.54</v>
      </c>
      <c r="H63">
        <f>RTD("rtdtrading.rtdserver",, "RCSL3_B_0", "MAX")</f>
        <v>1.54</v>
      </c>
      <c r="I63">
        <f>RTD("rtdtrading.rtdserver",, "RCSL3_B_0", "MIN")</f>
        <v>1.47</v>
      </c>
      <c r="J63">
        <f>RTD("rtdtrading.rtdserver",, "RCSL3_B_0", "FEC")</f>
        <v>1.55</v>
      </c>
      <c r="K63">
        <f>RTD("rtdtrading.rtdserver",, "RCSL3_B_0", "PEX")</f>
        <v>0</v>
      </c>
      <c r="L63">
        <f>RTD("rtdtrading.rtdserver",, "RCSL3_B_0", "VAR")</f>
        <v>-5.1612903225806495</v>
      </c>
      <c r="M63">
        <f>RTD("rtdtrading.rtdserver",, "RCSL3_B_0", "VARPTS")</f>
        <v>-8.0000000000000071E-2</v>
      </c>
      <c r="N63">
        <f>RTD("rtdtrading.rtdserver",, "RCSL3_B_0", "MED")</f>
        <v>1.4929083665338645</v>
      </c>
      <c r="O63" t="s">
        <v>337</v>
      </c>
      <c r="P63">
        <f>RTD("rtdtrading.rtdserver",, "RCSL3_B_0", "NEG")</f>
        <v>24</v>
      </c>
      <c r="Q63">
        <f>RTD("rtdtrading.rtdserver",, "RCSL3_B_0", "QUL")</f>
        <v>0</v>
      </c>
      <c r="R63">
        <f>RTD("rtdtrading.rtdserver",, "RCSL3_B_0", "QTT")</f>
        <v>25100</v>
      </c>
      <c r="S63">
        <f>RTD("rtdtrading.rtdserver",, "RCSL3_B_0", "VOL")</f>
        <v>37472</v>
      </c>
      <c r="T63">
        <f>RTD("rtdtrading.rtdserver",, "RCSL3_B_0", "OCP")</f>
        <v>1.47</v>
      </c>
      <c r="U63">
        <f>RTD("rtdtrading.rtdserver",, "RCSL3_B_0", "OVD")</f>
        <v>1.53</v>
      </c>
      <c r="V63">
        <f>RTD("rtdtrading.rtdserver",, "RCSL3_B_0", "VOC")</f>
        <v>5000</v>
      </c>
      <c r="W63">
        <f>RTD("rtdtrading.rtdserver",, "RCSL3_B_0", "VOV")</f>
        <v>4800</v>
      </c>
      <c r="X63">
        <f>RTD("rtdtrading.rtdserver",, "RCSL3_B_0", "AJU")</f>
        <v>0</v>
      </c>
      <c r="Y63">
        <f>RTD("rtdtrading.rtdserver",, "RCSL3_B_0", "AJA")</f>
        <v>0</v>
      </c>
      <c r="Z63">
        <f>RTD("rtdtrading.rtdserver",, "RCSL3_B_0", "PRT")</f>
        <v>0</v>
      </c>
      <c r="AA63">
        <f>RTD("rtdtrading.rtdserver",, "RCSL3_B_0", "QTE")</f>
        <v>0</v>
      </c>
      <c r="AB63">
        <f>RTD("rtdtrading.rtdserver",, "RCSL3_B_0", "VPJ")</f>
        <v>37472</v>
      </c>
      <c r="AC63">
        <f>RTD("rtdtrading.rtdserver",, "RCSL3_B_0", "SEM")</f>
        <v>-3.2894736842105288</v>
      </c>
      <c r="AD63">
        <f>RTD("rtdtrading.rtdserver",, "RCSL3_B_0", "MES")</f>
        <v>-5.7692307692307745</v>
      </c>
      <c r="AE63">
        <f>RTD("rtdtrading.rtdserver",, "RCSL3_B_0", "3M")</f>
        <v>-30.660377358490571</v>
      </c>
      <c r="AF63">
        <f>RTD("rtdtrading.rtdserver",, "RCSL3_B_0", "6M")</f>
        <v>-45.555555555555557</v>
      </c>
      <c r="AG63">
        <f>RTD("rtdtrading.rtdserver",, "RCSL3_B_0", "12M")</f>
        <v>-67.549668874172198</v>
      </c>
      <c r="AH63">
        <f>RTD("rtdtrading.rtdserver",, "RCSL3_B_0", "ANO")</f>
        <v>-77.03125</v>
      </c>
      <c r="AI63">
        <f>RTD("rtdtrading.rtdserver",, "RCSL3_B_0", "TRIM")</f>
        <v>-5.7692307692307745</v>
      </c>
      <c r="AJ63">
        <f>RTD("rtdtrading.rtdserver",, "RCSL3_B_0", "SEMES")</f>
        <v>-38.235294117647058</v>
      </c>
      <c r="AK63" t="str">
        <f>RTD("rtdtrading.rtdserver",, "RCSL3_B_0", "VEN")</f>
        <v>-</v>
      </c>
      <c r="AL63" t="str">
        <f>RTD("rtdtrading.rtdserver",, "RCSL3_B_0", "VAL")</f>
        <v>31/12/9999</v>
      </c>
      <c r="AM63">
        <f>RTD("rtdtrading.rtdserver",, "RCSL3_B_0", "CAB")</f>
        <v>0</v>
      </c>
      <c r="AN63" t="str">
        <f>RTD("rtdtrading.rtdserver",, "RCSL3_B_0", "EST")</f>
        <v>Pré-Fechamento</v>
      </c>
      <c r="AO63" t="str">
        <f>RTD("rtdtrading.rtdserver",, "RCSL3_B_0", "BLACK")</f>
        <v>-</v>
      </c>
      <c r="AP63" t="str">
        <f>RTD("rtdtrading.rtdserver",, "RCSL3_B_0", "IMPVT")</f>
        <v>-</v>
      </c>
      <c r="AQ63" t="str">
        <f>RTD("rtdtrading.rtdserver",, "RCSL3_B_0", "DELTA")</f>
        <v>-</v>
      </c>
      <c r="AR63" t="str">
        <f>RTD("rtdtrading.rtdserver",, "RCSL3_B_0", "GAMA")</f>
        <v>-</v>
      </c>
      <c r="AS63" t="str">
        <f>RTD("rtdtrading.rtdserver",, "RCSL3_B_0", "THETA")</f>
        <v>-</v>
      </c>
      <c r="AT63" t="str">
        <f>RTD("rtdtrading.rtdserver",, "RCSL3_B_0", "RHO")</f>
        <v>-</v>
      </c>
      <c r="AU63" t="str">
        <f>RTD("rtdtrading.rtdserver",, "RCSL3_B_0", "VEGA")</f>
        <v>-</v>
      </c>
      <c r="AV63" t="str">
        <f>RTD("rtdtrading.rtdserver",, "RCSL3_B_0", "VIA")</f>
        <v>-</v>
      </c>
      <c r="AW63" t="str">
        <f>RTD("rtdtrading.rtdserver",, "RCSL3_B_0", "VIB")</f>
        <v>-</v>
      </c>
      <c r="AX63" t="str">
        <f>RTD("rtdtrading.rtdserver",, "RCSL3_B_0", "DOBRAR")</f>
        <v>-</v>
      </c>
      <c r="AY63" t="str">
        <f>RTD("rtdtrading.rtdserver",, "RCSL3_B_0", "VIVH")</f>
        <v>-</v>
      </c>
      <c r="AZ63" t="str">
        <f>RTD("rtdtrading.rtdserver",, "RCSL3_B_0", "VINT")</f>
        <v>-</v>
      </c>
      <c r="BA63" t="str">
        <f>RTD("rtdtrading.rtdserver",, "RCSL3_B_0", "VEXT")</f>
        <v>-</v>
      </c>
    </row>
    <row r="64" spans="3:53" x14ac:dyDescent="0.25">
      <c r="C64" t="s">
        <v>340</v>
      </c>
      <c r="D64" t="str">
        <f>RTD("rtdtrading.rtdserver",, "SMTO3_B_0", "DAT")</f>
        <v>14/10/2025</v>
      </c>
      <c r="E64" t="str">
        <f>RTD("rtdtrading.rtdserver",, "SMTO3_B_0", "HOR")</f>
        <v>17:07:34</v>
      </c>
      <c r="F64">
        <f>RTD("rtdtrading.rtdserver",, "SMTO3_B_0", "ULT")</f>
        <v>15.450000000000001</v>
      </c>
      <c r="G64">
        <f>RTD("rtdtrading.rtdserver",, "SMTO3_B_0", "ABE")</f>
        <v>15.4</v>
      </c>
      <c r="H64">
        <f>RTD("rtdtrading.rtdserver",, "SMTO3_B_0", "MAX")</f>
        <v>15.61</v>
      </c>
      <c r="I64">
        <f>RTD("rtdtrading.rtdserver",, "SMTO3_B_0", "MIN")</f>
        <v>15.3</v>
      </c>
      <c r="J64">
        <f>RTD("rtdtrading.rtdserver",, "SMTO3_B_0", "FEC")</f>
        <v>15.450000000000001</v>
      </c>
      <c r="K64">
        <f>RTD("rtdtrading.rtdserver",, "SMTO3_B_0", "PEX")</f>
        <v>0</v>
      </c>
      <c r="L64">
        <f>RTD("rtdtrading.rtdserver",, "SMTO3_B_0", "VAR")</f>
        <v>0</v>
      </c>
      <c r="M64">
        <f>RTD("rtdtrading.rtdserver",, "SMTO3_B_0", "VARPTS")</f>
        <v>0</v>
      </c>
      <c r="N64">
        <f>RTD("rtdtrading.rtdserver",, "SMTO3_B_0", "MED")</f>
        <v>15.444736542619779</v>
      </c>
      <c r="O64" t="s">
        <v>341</v>
      </c>
      <c r="P64">
        <f>RTD("rtdtrading.rtdserver",, "SMTO3_B_0", "NEG")</f>
        <v>5058</v>
      </c>
      <c r="Q64">
        <f>RTD("rtdtrading.rtdserver",, "SMTO3_B_0", "QUL")</f>
        <v>0</v>
      </c>
      <c r="R64">
        <f>RTD("rtdtrading.rtdserver",, "SMTO3_B_0", "QTT")</f>
        <v>1757400</v>
      </c>
      <c r="S64">
        <f>RTD("rtdtrading.rtdserver",, "SMTO3_B_0", "VOL")</f>
        <v>27142580</v>
      </c>
      <c r="T64">
        <f>RTD("rtdtrading.rtdserver",, "SMTO3_B_0", "OCP")</f>
        <v>15.36</v>
      </c>
      <c r="U64">
        <f>RTD("rtdtrading.rtdserver",, "SMTO3_B_0", "OVD")</f>
        <v>15.55</v>
      </c>
      <c r="V64">
        <f>RTD("rtdtrading.rtdserver",, "SMTO3_B_0", "VOC")</f>
        <v>100</v>
      </c>
      <c r="W64">
        <f>RTD("rtdtrading.rtdserver",, "SMTO3_B_0", "VOV")</f>
        <v>1000</v>
      </c>
      <c r="X64">
        <f>RTD("rtdtrading.rtdserver",, "SMTO3_B_0", "AJU")</f>
        <v>0</v>
      </c>
      <c r="Y64">
        <f>RTD("rtdtrading.rtdserver",, "SMTO3_B_0", "AJA")</f>
        <v>0</v>
      </c>
      <c r="Z64">
        <f>RTD("rtdtrading.rtdserver",, "SMTO3_B_0", "PRT")</f>
        <v>0</v>
      </c>
      <c r="AA64">
        <f>RTD("rtdtrading.rtdserver",, "SMTO3_B_0", "QTE")</f>
        <v>0</v>
      </c>
      <c r="AB64">
        <f>RTD("rtdtrading.rtdserver",, "SMTO3_B_0", "VPJ")</f>
        <v>27142580</v>
      </c>
      <c r="AC64">
        <f>RTD("rtdtrading.rtdserver",, "SMTO3_B_0", "SEM")</f>
        <v>-0.64308681672025492</v>
      </c>
      <c r="AD64">
        <f>RTD("rtdtrading.rtdserver",, "SMTO3_B_0", "MES")</f>
        <v>-11.002304147465429</v>
      </c>
      <c r="AE64">
        <f>RTD("rtdtrading.rtdserver",, "SMTO3_B_0", "3M")</f>
        <v>-7.980392974347664</v>
      </c>
      <c r="AF64">
        <f>RTD("rtdtrading.rtdserver",, "SMTO3_B_0", "6M")</f>
        <v>-20.776137464938945</v>
      </c>
      <c r="AG64">
        <f>RTD("rtdtrading.rtdserver",, "SMTO3_B_0", "12M")</f>
        <v>-39.332301917020715</v>
      </c>
      <c r="AH64">
        <f>RTD("rtdtrading.rtdserver",, "SMTO3_B_0", "ANO")</f>
        <v>-32.152330095381956</v>
      </c>
      <c r="AI64">
        <f>RTD("rtdtrading.rtdserver",, "SMTO3_B_0", "TRIM")</f>
        <v>-11.002304147465429</v>
      </c>
      <c r="AJ64">
        <f>RTD("rtdtrading.rtdserver",, "SMTO3_B_0", "SEMES")</f>
        <v>-10.180162896558937</v>
      </c>
      <c r="AK64" t="str">
        <f>RTD("rtdtrading.rtdserver",, "SMTO3_B_0", "VEN")</f>
        <v>-</v>
      </c>
      <c r="AL64" t="str">
        <f>RTD("rtdtrading.rtdserver",, "SMTO3_B_0", "VAL")</f>
        <v>31/12/9999</v>
      </c>
      <c r="AM64">
        <f>RTD("rtdtrading.rtdserver",, "SMTO3_B_0", "CAB")</f>
        <v>0</v>
      </c>
      <c r="AN64" t="str">
        <f>RTD("rtdtrading.rtdserver",, "SMTO3_B_0", "EST")</f>
        <v>Pré-Fechamento</v>
      </c>
      <c r="AO64" t="str">
        <f>RTD("rtdtrading.rtdserver",, "SMTO3_B_0", "BLACK")</f>
        <v>-</v>
      </c>
      <c r="AP64" t="str">
        <f>RTD("rtdtrading.rtdserver",, "SMTO3_B_0", "IMPVT")</f>
        <v>-</v>
      </c>
      <c r="AQ64" t="str">
        <f>RTD("rtdtrading.rtdserver",, "SMTO3_B_0", "DELTA")</f>
        <v>-</v>
      </c>
      <c r="AR64" t="str">
        <f>RTD("rtdtrading.rtdserver",, "SMTO3_B_0", "GAMA")</f>
        <v>-</v>
      </c>
      <c r="AS64" t="str">
        <f>RTD("rtdtrading.rtdserver",, "SMTO3_B_0", "THETA")</f>
        <v>-</v>
      </c>
      <c r="AT64" t="str">
        <f>RTD("rtdtrading.rtdserver",, "SMTO3_B_0", "RHO")</f>
        <v>-</v>
      </c>
      <c r="AU64" t="str">
        <f>RTD("rtdtrading.rtdserver",, "SMTO3_B_0", "VEGA")</f>
        <v>-</v>
      </c>
      <c r="AV64" t="str">
        <f>RTD("rtdtrading.rtdserver",, "SMTO3_B_0", "VIA")</f>
        <v>-</v>
      </c>
      <c r="AW64" t="str">
        <f>RTD("rtdtrading.rtdserver",, "SMTO3_B_0", "VIB")</f>
        <v>-</v>
      </c>
      <c r="AX64" t="str">
        <f>RTD("rtdtrading.rtdserver",, "SMTO3_B_0", "DOBRAR")</f>
        <v>-</v>
      </c>
      <c r="AY64" t="str">
        <f>RTD("rtdtrading.rtdserver",, "SMTO3_B_0", "VIVH")</f>
        <v>-</v>
      </c>
      <c r="AZ64" t="str">
        <f>RTD("rtdtrading.rtdserver",, "SMTO3_B_0", "VINT")</f>
        <v>-</v>
      </c>
      <c r="BA64" t="str">
        <f>RTD("rtdtrading.rtdserver",, "SMTO3_B_0", "VEXT")</f>
        <v>-</v>
      </c>
    </row>
    <row r="65" spans="3:53" x14ac:dyDescent="0.25">
      <c r="C65" t="s">
        <v>299</v>
      </c>
      <c r="D65" t="str">
        <f>RTD("rtdtrading.rtdserver",, "BEEF3_B_0", "DAT")</f>
        <v>14/10/2025</v>
      </c>
      <c r="E65" t="str">
        <f>RTD("rtdtrading.rtdserver",, "BEEF3_B_0", "HOR")</f>
        <v>17:07:57</v>
      </c>
      <c r="F65">
        <f>RTD("rtdtrading.rtdserver",, "BEEF3_B_0", "ULT")</f>
        <v>6.62</v>
      </c>
      <c r="G65">
        <f>RTD("rtdtrading.rtdserver",, "BEEF3_B_0", "ABE")</f>
        <v>6.45</v>
      </c>
      <c r="H65">
        <f>RTD("rtdtrading.rtdserver",, "BEEF3_B_0", "MAX")</f>
        <v>6.66</v>
      </c>
      <c r="I65">
        <f>RTD("rtdtrading.rtdserver",, "BEEF3_B_0", "MIN")</f>
        <v>6.39</v>
      </c>
      <c r="J65">
        <f>RTD("rtdtrading.rtdserver",, "BEEF3_B_0", "FEC")</f>
        <v>6.46</v>
      </c>
      <c r="K65">
        <f>RTD("rtdtrading.rtdserver",, "BEEF3_B_0", "PEX")</f>
        <v>0</v>
      </c>
      <c r="L65">
        <f>RTD("rtdtrading.rtdserver",, "BEEF3_B_0", "VAR")</f>
        <v>2.4767801857585163</v>
      </c>
      <c r="M65">
        <f>RTD("rtdtrading.rtdserver",, "BEEF3_B_0", "VARPTS")</f>
        <v>0.16000000000000014</v>
      </c>
      <c r="N65">
        <f>RTD("rtdtrading.rtdserver",, "BEEF3_B_0", "MED")</f>
        <v>6.590736123542797</v>
      </c>
      <c r="O65" t="s">
        <v>344</v>
      </c>
      <c r="P65">
        <f>RTD("rtdtrading.rtdserver",, "BEEF3_B_0", "NEG")</f>
        <v>9488</v>
      </c>
      <c r="Q65">
        <f>RTD("rtdtrading.rtdserver",, "BEEF3_B_0", "QUL")</f>
        <v>0</v>
      </c>
      <c r="R65">
        <f>RTD("rtdtrading.rtdserver",, "BEEF3_B_0", "QTT")</f>
        <v>9272900</v>
      </c>
      <c r="S65">
        <f>RTD("rtdtrading.rtdserver",, "BEEF3_B_0", "VOL")</f>
        <v>61115237</v>
      </c>
      <c r="T65">
        <f>RTD("rtdtrading.rtdserver",, "BEEF3_B_0", "OCP")</f>
        <v>6.51</v>
      </c>
      <c r="U65">
        <f>RTD("rtdtrading.rtdserver",, "BEEF3_B_0", "OVD")</f>
        <v>6.65</v>
      </c>
      <c r="V65">
        <f>RTD("rtdtrading.rtdserver",, "BEEF3_B_0", "VOC")</f>
        <v>16200</v>
      </c>
      <c r="W65">
        <f>RTD("rtdtrading.rtdserver",, "BEEF3_B_0", "VOV")</f>
        <v>900</v>
      </c>
      <c r="X65">
        <f>RTD("rtdtrading.rtdserver",, "BEEF3_B_0", "AJU")</f>
        <v>0</v>
      </c>
      <c r="Y65">
        <f>RTD("rtdtrading.rtdserver",, "BEEF3_B_0", "AJA")</f>
        <v>0</v>
      </c>
      <c r="Z65">
        <f>RTD("rtdtrading.rtdserver",, "BEEF3_B_0", "PRT")</f>
        <v>0</v>
      </c>
      <c r="AA65">
        <f>RTD("rtdtrading.rtdserver",, "BEEF3_B_0", "QTE")</f>
        <v>0</v>
      </c>
      <c r="AB65">
        <f>RTD("rtdtrading.rtdserver",, "BEEF3_B_0", "VPJ")</f>
        <v>61115237</v>
      </c>
      <c r="AC65">
        <f>RTD("rtdtrading.rtdserver",, "BEEF3_B_0", "SEM")</f>
        <v>1.3782542113323102</v>
      </c>
      <c r="AD65">
        <f>RTD("rtdtrading.rtdserver",, "BEEF3_B_0", "MES")</f>
        <v>-1.9259259259259243</v>
      </c>
      <c r="AE65">
        <f>RTD("rtdtrading.rtdserver",, "BEEF3_B_0", "3M")</f>
        <v>26.095238095238098</v>
      </c>
      <c r="AF65">
        <f>RTD("rtdtrading.rtdserver",, "BEEF3_B_0", "6M")</f>
        <v>17.430020931635145</v>
      </c>
      <c r="AG65">
        <f>RTD("rtdtrading.rtdserver",, "BEEF3_B_0", "12M")</f>
        <v>47.741474736654162</v>
      </c>
      <c r="AH65">
        <f>RTD("rtdtrading.rtdserver",, "BEEF3_B_0", "ANO")</f>
        <v>60.804508356004646</v>
      </c>
      <c r="AI65">
        <f>RTD("rtdtrading.rtdserver",, "BEEF3_B_0", "TRIM")</f>
        <v>-1.9259259259259243</v>
      </c>
      <c r="AJ65">
        <f>RTD("rtdtrading.rtdserver",, "BEEF3_B_0", "SEMES")</f>
        <v>35.102040816326522</v>
      </c>
      <c r="AK65" t="str">
        <f>RTD("rtdtrading.rtdserver",, "BEEF3_B_0", "VEN")</f>
        <v>-</v>
      </c>
      <c r="AL65" t="str">
        <f>RTD("rtdtrading.rtdserver",, "BEEF3_B_0", "VAL")</f>
        <v>31/12/9999</v>
      </c>
      <c r="AM65">
        <f>RTD("rtdtrading.rtdserver",, "BEEF3_B_0", "CAB")</f>
        <v>0</v>
      </c>
      <c r="AN65" t="str">
        <f>RTD("rtdtrading.rtdserver",, "BEEF3_B_0", "EST")</f>
        <v>Pré-Fechamento</v>
      </c>
      <c r="AO65" t="str">
        <f>RTD("rtdtrading.rtdserver",, "BEEF3_B_0", "BLACK")</f>
        <v>-</v>
      </c>
      <c r="AP65" t="str">
        <f>RTD("rtdtrading.rtdserver",, "BEEF3_B_0", "IMPVT")</f>
        <v>-</v>
      </c>
      <c r="AQ65" t="str">
        <f>RTD("rtdtrading.rtdserver",, "BEEF3_B_0", "DELTA")</f>
        <v>-</v>
      </c>
      <c r="AR65" t="str">
        <f>RTD("rtdtrading.rtdserver",, "BEEF3_B_0", "GAMA")</f>
        <v>-</v>
      </c>
      <c r="AS65" t="str">
        <f>RTD("rtdtrading.rtdserver",, "BEEF3_B_0", "THETA")</f>
        <v>-</v>
      </c>
      <c r="AT65" t="str">
        <f>RTD("rtdtrading.rtdserver",, "BEEF3_B_0", "RHO")</f>
        <v>-</v>
      </c>
      <c r="AU65" t="str">
        <f>RTD("rtdtrading.rtdserver",, "BEEF3_B_0", "VEGA")</f>
        <v>-</v>
      </c>
      <c r="AV65" t="str">
        <f>RTD("rtdtrading.rtdserver",, "BEEF3_B_0", "VIA")</f>
        <v>-</v>
      </c>
      <c r="AW65" t="str">
        <f>RTD("rtdtrading.rtdserver",, "BEEF3_B_0", "VIB")</f>
        <v>-</v>
      </c>
      <c r="AX65" t="str">
        <f>RTD("rtdtrading.rtdserver",, "BEEF3_B_0", "DOBRAR")</f>
        <v>-</v>
      </c>
      <c r="AY65" t="str">
        <f>RTD("rtdtrading.rtdserver",, "BEEF3_B_0", "VIVH")</f>
        <v>-</v>
      </c>
      <c r="AZ65" t="str">
        <f>RTD("rtdtrading.rtdserver",, "BEEF3_B_0", "VINT")</f>
        <v>-</v>
      </c>
      <c r="BA65" t="str">
        <f>RTD("rtdtrading.rtdserver",, "BEEF3_B_0", "VEXT")</f>
        <v>-</v>
      </c>
    </row>
    <row r="66" spans="3:53" x14ac:dyDescent="0.25">
      <c r="C66" t="s">
        <v>296</v>
      </c>
      <c r="D66" t="str">
        <f>RTD("rtdtrading.rtdserver",, "MRFG3_B_0", "DAT")</f>
        <v>22/09/2025</v>
      </c>
      <c r="E66" t="str">
        <f>RTD("rtdtrading.rtdserver",, "MRFG3_B_0", "HOR")</f>
        <v>18:01:15</v>
      </c>
      <c r="F66">
        <f>RTD("rtdtrading.rtdserver",, "MRFG3_B_0", "ULT")</f>
        <v>21.12</v>
      </c>
      <c r="G66">
        <f>RTD("rtdtrading.rtdserver",, "MRFG3_B_0", "ABE")</f>
        <v>22.14</v>
      </c>
      <c r="H66">
        <f>RTD("rtdtrading.rtdserver",, "MRFG3_B_0", "MAX")</f>
        <v>22.14</v>
      </c>
      <c r="I66">
        <f>RTD("rtdtrading.rtdserver",, "MRFG3_B_0", "MIN")</f>
        <v>21.12</v>
      </c>
      <c r="J66">
        <f>RTD("rtdtrading.rtdserver",, "MRFG3_B_0", "FEC")</f>
        <v>21.12</v>
      </c>
      <c r="K66">
        <f>RTD("rtdtrading.rtdserver",, "MRFG3_B_0", "PEX")</f>
        <v>0</v>
      </c>
      <c r="L66">
        <f>RTD("rtdtrading.rtdserver",, "MRFG3_B_0", "VAR")</f>
        <v>0</v>
      </c>
      <c r="M66">
        <f>RTD("rtdtrading.rtdserver",, "MRFG3_B_0", "VARPTS")</f>
        <v>0</v>
      </c>
      <c r="N66">
        <f>RTD("rtdtrading.rtdserver",, "MRFG3_B_0", "MED")</f>
        <v>21.317863649215791</v>
      </c>
      <c r="O66" t="s">
        <v>347</v>
      </c>
      <c r="P66">
        <f>RTD("rtdtrading.rtdserver",, "MRFG3_B_0", "NEG")</f>
        <v>34710</v>
      </c>
      <c r="Q66">
        <f>RTD("rtdtrading.rtdserver",, "MRFG3_B_0", "QUL")</f>
        <v>0</v>
      </c>
      <c r="R66">
        <f>RTD("rtdtrading.rtdserver",, "MRFG3_B_0", "QTT")</f>
        <v>18037300</v>
      </c>
      <c r="S66">
        <f>RTD("rtdtrading.rtdserver",, "MRFG3_B_0", "VOL")</f>
        <v>384516702</v>
      </c>
      <c r="T66">
        <f>RTD("rtdtrading.rtdserver",, "MRFG3_B_0", "OCP")</f>
        <v>0</v>
      </c>
      <c r="U66">
        <f>RTD("rtdtrading.rtdserver",, "MRFG3_B_0", "OVD")</f>
        <v>0</v>
      </c>
      <c r="V66">
        <f>RTD("rtdtrading.rtdserver",, "MRFG3_B_0", "VOC")</f>
        <v>0</v>
      </c>
      <c r="W66">
        <f>RTD("rtdtrading.rtdserver",, "MRFG3_B_0", "VOV")</f>
        <v>0</v>
      </c>
      <c r="X66">
        <f>RTD("rtdtrading.rtdserver",, "MRFG3_B_0", "AJU")</f>
        <v>0</v>
      </c>
      <c r="Y66">
        <f>RTD("rtdtrading.rtdserver",, "MRFG3_B_0", "AJA")</f>
        <v>0</v>
      </c>
      <c r="Z66">
        <f>RTD("rtdtrading.rtdserver",, "MRFG3_B_0", "PRT")</f>
        <v>0</v>
      </c>
      <c r="AA66">
        <f>RTD("rtdtrading.rtdserver",, "MRFG3_B_0", "QTE")</f>
        <v>0</v>
      </c>
      <c r="AB66">
        <f>RTD("rtdtrading.rtdserver",, "MRFG3_B_0", "VPJ")</f>
        <v>384516702</v>
      </c>
      <c r="AC66">
        <f>RTD("rtdtrading.rtdserver",, "MRFG3_B_0", "SEM")</f>
        <v>0</v>
      </c>
      <c r="AD66">
        <f>RTD("rtdtrading.rtdserver",, "MRFG3_B_0", "MES")</f>
        <v>0</v>
      </c>
      <c r="AE66">
        <f>RTD("rtdtrading.rtdserver",, "MRFG3_B_0", "3M")</f>
        <v>2.6972618926055074</v>
      </c>
      <c r="AF66">
        <f>RTD("rtdtrading.rtdserver",, "MRFG3_B_0", "6M")</f>
        <v>17.164746281739056</v>
      </c>
      <c r="AG66">
        <f>RTD("rtdtrading.rtdserver",, "MRFG3_B_0", "12M")</f>
        <v>117.03387043735611</v>
      </c>
      <c r="AH66">
        <f>RTD("rtdtrading.rtdserver",, "MRFG3_B_0", "ANO")</f>
        <v>38.698259047894233</v>
      </c>
      <c r="AI66">
        <f>RTD("rtdtrading.rtdserver",, "MRFG3_B_0", "TRIM")</f>
        <v>0</v>
      </c>
      <c r="AJ66">
        <f>RTD("rtdtrading.rtdserver",, "MRFG3_B_0", "SEMES")</f>
        <v>3.1456492754897298</v>
      </c>
      <c r="AK66" t="str">
        <f>RTD("rtdtrading.rtdserver",, "MRFG3_B_0", "VEN")</f>
        <v>-</v>
      </c>
      <c r="AL66" t="str">
        <f>RTD("rtdtrading.rtdserver",, "MRFG3_B_0", "VAL")</f>
        <v>31/12/9999</v>
      </c>
      <c r="AM66">
        <f>RTD("rtdtrading.rtdserver",, "MRFG3_B_0", "CAB")</f>
        <v>0</v>
      </c>
      <c r="AN66" t="str">
        <f>RTD("rtdtrading.rtdserver",, "MRFG3_B_0", "EST")</f>
        <v>Fechado</v>
      </c>
      <c r="AO66" t="str">
        <f>RTD("rtdtrading.rtdserver",, "MRFG3_B_0", "BLACK")</f>
        <v>-</v>
      </c>
      <c r="AP66" t="str">
        <f>RTD("rtdtrading.rtdserver",, "MRFG3_B_0", "IMPVT")</f>
        <v>-</v>
      </c>
      <c r="AQ66" t="str">
        <f>RTD("rtdtrading.rtdserver",, "MRFG3_B_0", "DELTA")</f>
        <v>-</v>
      </c>
      <c r="AR66" t="str">
        <f>RTD("rtdtrading.rtdserver",, "MRFG3_B_0", "GAMA")</f>
        <v>-</v>
      </c>
      <c r="AS66" t="str">
        <f>RTD("rtdtrading.rtdserver",, "MRFG3_B_0", "THETA")</f>
        <v>-</v>
      </c>
      <c r="AT66" t="str">
        <f>RTD("rtdtrading.rtdserver",, "MRFG3_B_0", "RHO")</f>
        <v>-</v>
      </c>
      <c r="AU66" t="str">
        <f>RTD("rtdtrading.rtdserver",, "MRFG3_B_0", "VEGA")</f>
        <v>-</v>
      </c>
      <c r="AV66" t="str">
        <f>RTD("rtdtrading.rtdserver",, "MRFG3_B_0", "VIA")</f>
        <v>-</v>
      </c>
      <c r="AW66" t="str">
        <f>RTD("rtdtrading.rtdserver",, "MRFG3_B_0", "VIB")</f>
        <v>-</v>
      </c>
      <c r="AX66" t="str">
        <f>RTD("rtdtrading.rtdserver",, "MRFG3_B_0", "DOBRAR")</f>
        <v>-</v>
      </c>
      <c r="AY66" t="str">
        <f>RTD("rtdtrading.rtdserver",, "MRFG3_B_0", "VIVH")</f>
        <v>-</v>
      </c>
      <c r="AZ66" t="str">
        <f>RTD("rtdtrading.rtdserver",, "MRFG3_B_0", "VINT")</f>
        <v>-</v>
      </c>
      <c r="BA66" t="str">
        <f>RTD("rtdtrading.rtdserver",, "MRFG3_B_0", "VEXT")</f>
        <v>-</v>
      </c>
    </row>
    <row r="67" spans="3:53" x14ac:dyDescent="0.25">
      <c r="C67" t="s">
        <v>349</v>
      </c>
      <c r="D67" t="str">
        <f>RTD("rtdtrading.rtdserver",, "JALL3_B_0", "DAT")</f>
        <v>14/10/2025</v>
      </c>
      <c r="E67" t="str">
        <f>RTD("rtdtrading.rtdserver",, "JALL3_B_0", "HOR")</f>
        <v>17:59:49</v>
      </c>
      <c r="F67">
        <f>RTD("rtdtrading.rtdserver",, "JALL3_B_0", "ULT")</f>
        <v>2.5900000000000003</v>
      </c>
      <c r="G67">
        <f>RTD("rtdtrading.rtdserver",, "JALL3_B_0", "ABE")</f>
        <v>2.58</v>
      </c>
      <c r="H67">
        <f>RTD("rtdtrading.rtdserver",, "JALL3_B_0", "MAX")</f>
        <v>2.6</v>
      </c>
      <c r="I67">
        <f>RTD("rtdtrading.rtdserver",, "JALL3_B_0", "MIN")</f>
        <v>2.5499999999999998</v>
      </c>
      <c r="J67">
        <f>RTD("rtdtrading.rtdserver",, "JALL3_B_0", "FEC")</f>
        <v>2.6</v>
      </c>
      <c r="K67">
        <f>RTD("rtdtrading.rtdserver",, "JALL3_B_0", "PEX")</f>
        <v>0</v>
      </c>
      <c r="L67">
        <f>RTD("rtdtrading.rtdserver",, "JALL3_B_0", "VAR")</f>
        <v>-0.38461538461537642</v>
      </c>
      <c r="M67">
        <f>RTD("rtdtrading.rtdserver",, "JALL3_B_0", "VARPTS")</f>
        <v>-9.9999999999997868E-3</v>
      </c>
      <c r="N67">
        <f>RTD("rtdtrading.rtdserver",, "JALL3_B_0", "MED")</f>
        <v>2.5788352348102945</v>
      </c>
      <c r="O67" t="s">
        <v>350</v>
      </c>
      <c r="P67">
        <f>RTD("rtdtrading.rtdserver",, "JALL3_B_0", "NEG")</f>
        <v>1639</v>
      </c>
      <c r="Q67">
        <f>RTD("rtdtrading.rtdserver",, "JALL3_B_0", "QUL")</f>
        <v>0</v>
      </c>
      <c r="R67">
        <f>RTD("rtdtrading.rtdserver",, "JALL3_B_0", "QTT")</f>
        <v>1507600</v>
      </c>
      <c r="S67">
        <f>RTD("rtdtrading.rtdserver",, "JALL3_B_0", "VOL")</f>
        <v>3887852</v>
      </c>
      <c r="T67">
        <f>RTD("rtdtrading.rtdserver",, "JALL3_B_0", "OCP")</f>
        <v>2.5500000000000003</v>
      </c>
      <c r="U67">
        <f>RTD("rtdtrading.rtdserver",, "JALL3_B_0", "OVD")</f>
        <v>2.65</v>
      </c>
      <c r="V67">
        <f>RTD("rtdtrading.rtdserver",, "JALL3_B_0", "VOC")</f>
        <v>15600</v>
      </c>
      <c r="W67">
        <f>RTD("rtdtrading.rtdserver",, "JALL3_B_0", "VOV")</f>
        <v>300</v>
      </c>
      <c r="X67">
        <f>RTD("rtdtrading.rtdserver",, "JALL3_B_0", "AJU")</f>
        <v>0</v>
      </c>
      <c r="Y67">
        <f>RTD("rtdtrading.rtdserver",, "JALL3_B_0", "AJA")</f>
        <v>0</v>
      </c>
      <c r="Z67">
        <f>RTD("rtdtrading.rtdserver",, "JALL3_B_0", "PRT")</f>
        <v>0</v>
      </c>
      <c r="AA67">
        <f>RTD("rtdtrading.rtdserver",, "JALL3_B_0", "QTE")</f>
        <v>0</v>
      </c>
      <c r="AB67">
        <f>RTD("rtdtrading.rtdserver",, "JALL3_B_0", "VPJ")</f>
        <v>3887852</v>
      </c>
      <c r="AC67">
        <f>RTD("rtdtrading.rtdserver",, "JALL3_B_0", "SEM")</f>
        <v>-1.5209125475285183</v>
      </c>
      <c r="AD67">
        <f>RTD("rtdtrading.rtdserver",, "JALL3_B_0", "MES")</f>
        <v>-5.4744525547445217</v>
      </c>
      <c r="AE67">
        <f>RTD("rtdtrading.rtdserver",, "JALL3_B_0", "3M")</f>
        <v>-27.450980392156861</v>
      </c>
      <c r="AF67">
        <f>RTD("rtdtrading.rtdserver",, "JALL3_B_0", "6M")</f>
        <v>-34.595959595959599</v>
      </c>
      <c r="AG67">
        <f>RTD("rtdtrading.rtdserver",, "JALL3_B_0", "12M")</f>
        <v>-58.022690437601284</v>
      </c>
      <c r="AH67">
        <f>RTD("rtdtrading.rtdserver",, "JALL3_B_0", "ANO")</f>
        <v>-44.181034482758619</v>
      </c>
      <c r="AI67">
        <f>RTD("rtdtrading.rtdserver",, "JALL3_B_0", "TRIM")</f>
        <v>-5.4744525547445217</v>
      </c>
      <c r="AJ67">
        <f>RTD("rtdtrading.rtdserver",, "JALL3_B_0", "SEMES")</f>
        <v>-32.72727272727272</v>
      </c>
      <c r="AK67" t="str">
        <f>RTD("rtdtrading.rtdserver",, "JALL3_B_0", "VEN")</f>
        <v>-</v>
      </c>
      <c r="AL67" t="str">
        <f>RTD("rtdtrading.rtdserver",, "JALL3_B_0", "VAL")</f>
        <v>31/12/9999</v>
      </c>
      <c r="AM67">
        <f>RTD("rtdtrading.rtdserver",, "JALL3_B_0", "CAB")</f>
        <v>0</v>
      </c>
      <c r="AN67" t="str">
        <f>RTD("rtdtrading.rtdserver",, "JALL3_B_0", "EST")</f>
        <v>Pré-Fechamento</v>
      </c>
      <c r="AO67" t="str">
        <f>RTD("rtdtrading.rtdserver",, "JALL3_B_0", "BLACK")</f>
        <v>-</v>
      </c>
      <c r="AP67" t="str">
        <f>RTD("rtdtrading.rtdserver",, "JALL3_B_0", "IMPVT")</f>
        <v>-</v>
      </c>
      <c r="AQ67" t="str">
        <f>RTD("rtdtrading.rtdserver",, "JALL3_B_0", "DELTA")</f>
        <v>-</v>
      </c>
      <c r="AR67" t="str">
        <f>RTD("rtdtrading.rtdserver",, "JALL3_B_0", "GAMA")</f>
        <v>-</v>
      </c>
      <c r="AS67" t="str">
        <f>RTD("rtdtrading.rtdserver",, "JALL3_B_0", "THETA")</f>
        <v>-</v>
      </c>
      <c r="AT67" t="str">
        <f>RTD("rtdtrading.rtdserver",, "JALL3_B_0", "RHO")</f>
        <v>-</v>
      </c>
      <c r="AU67" t="str">
        <f>RTD("rtdtrading.rtdserver",, "JALL3_B_0", "VEGA")</f>
        <v>-</v>
      </c>
      <c r="AV67" t="str">
        <f>RTD("rtdtrading.rtdserver",, "JALL3_B_0", "VIA")</f>
        <v>-</v>
      </c>
      <c r="AW67" t="str">
        <f>RTD("rtdtrading.rtdserver",, "JALL3_B_0", "VIB")</f>
        <v>-</v>
      </c>
      <c r="AX67" t="str">
        <f>RTD("rtdtrading.rtdserver",, "JALL3_B_0", "DOBRAR")</f>
        <v>-</v>
      </c>
      <c r="AY67" t="str">
        <f>RTD("rtdtrading.rtdserver",, "JALL3_B_0", "VIVH")</f>
        <v>-</v>
      </c>
      <c r="AZ67" t="str">
        <f>RTD("rtdtrading.rtdserver",, "JALL3_B_0", "VINT")</f>
        <v>-</v>
      </c>
      <c r="BA67" t="str">
        <f>RTD("rtdtrading.rtdserver",, "JALL3_B_0", "VEXT")</f>
        <v>-</v>
      </c>
    </row>
    <row r="68" spans="3:53" x14ac:dyDescent="0.25">
      <c r="C68" t="s">
        <v>315</v>
      </c>
      <c r="D68" t="str">
        <f>RTD("rtdtrading.rtdserver",, "PCAR3_B_0", "DAT")</f>
        <v>14/10/2025</v>
      </c>
      <c r="E68" t="str">
        <f>RTD("rtdtrading.rtdserver",, "PCAR3_B_0", "HOR")</f>
        <v>17:07:40</v>
      </c>
      <c r="F68">
        <f>RTD("rtdtrading.rtdserver",, "PCAR3_B_0", "ULT")</f>
        <v>3.77</v>
      </c>
      <c r="G68">
        <f>RTD("rtdtrading.rtdserver",, "PCAR3_B_0", "ABE")</f>
        <v>3.83</v>
      </c>
      <c r="H68">
        <f>RTD("rtdtrading.rtdserver",, "PCAR3_B_0", "MAX")</f>
        <v>3.84</v>
      </c>
      <c r="I68">
        <f>RTD("rtdtrading.rtdserver",, "PCAR3_B_0", "MIN")</f>
        <v>3.67</v>
      </c>
      <c r="J68">
        <f>RTD("rtdtrading.rtdserver",, "PCAR3_B_0", "FEC")</f>
        <v>3.8400000000000003</v>
      </c>
      <c r="K68">
        <f>RTD("rtdtrading.rtdserver",, "PCAR3_B_0", "PEX")</f>
        <v>0</v>
      </c>
      <c r="L68">
        <f>RTD("rtdtrading.rtdserver",, "PCAR3_B_0", "VAR")</f>
        <v>-1.8229166666666741</v>
      </c>
      <c r="M68">
        <f>RTD("rtdtrading.rtdserver",, "PCAR3_B_0", "VARPTS")</f>
        <v>-7.0000000000000284E-2</v>
      </c>
      <c r="N68">
        <f>RTD("rtdtrading.rtdserver",, "PCAR3_B_0", "MED")</f>
        <v>3.7339301699575498</v>
      </c>
      <c r="O68" t="s">
        <v>353</v>
      </c>
      <c r="P68">
        <f>RTD("rtdtrading.rtdserver",, "PCAR3_B_0", "NEG")</f>
        <v>15150</v>
      </c>
      <c r="Q68">
        <f>RTD("rtdtrading.rtdserver",, "PCAR3_B_0", "QUL")</f>
        <v>0</v>
      </c>
      <c r="R68">
        <f>RTD("rtdtrading.rtdserver",, "PCAR3_B_0", "QTT")</f>
        <v>19057700</v>
      </c>
      <c r="S68">
        <f>RTD("rtdtrading.rtdserver",, "PCAR3_B_0", "VOL")</f>
        <v>71160121</v>
      </c>
      <c r="T68">
        <f>RTD("rtdtrading.rtdserver",, "PCAR3_B_0", "OCP")</f>
        <v>3.74</v>
      </c>
      <c r="U68">
        <f>RTD("rtdtrading.rtdserver",, "PCAR3_B_0", "OVD")</f>
        <v>3.7800000000000002</v>
      </c>
      <c r="V68">
        <f>RTD("rtdtrading.rtdserver",, "PCAR3_B_0", "VOC")</f>
        <v>10000</v>
      </c>
      <c r="W68">
        <f>RTD("rtdtrading.rtdserver",, "PCAR3_B_0", "VOV")</f>
        <v>11000</v>
      </c>
      <c r="X68">
        <f>RTD("rtdtrading.rtdserver",, "PCAR3_B_0", "AJU")</f>
        <v>0</v>
      </c>
      <c r="Y68">
        <f>RTD("rtdtrading.rtdserver",, "PCAR3_B_0", "AJA")</f>
        <v>0</v>
      </c>
      <c r="Z68">
        <f>RTD("rtdtrading.rtdserver",, "PCAR3_B_0", "PRT")</f>
        <v>0</v>
      </c>
      <c r="AA68">
        <f>RTD("rtdtrading.rtdserver",, "PCAR3_B_0", "QTE")</f>
        <v>0</v>
      </c>
      <c r="AB68">
        <f>RTD("rtdtrading.rtdserver",, "PCAR3_B_0", "VPJ")</f>
        <v>71160121</v>
      </c>
      <c r="AC68">
        <f>RTD("rtdtrading.rtdserver",, "PCAR3_B_0", "SEM")</f>
        <v>-4.7979797979798073</v>
      </c>
      <c r="AD68">
        <f>RTD("rtdtrading.rtdserver",, "PCAR3_B_0", "MES")</f>
        <v>-5.2763819095477382</v>
      </c>
      <c r="AE68">
        <f>RTD("rtdtrading.rtdserver",, "PCAR3_B_0", "3M")</f>
        <v>17.812499999999996</v>
      </c>
      <c r="AF68">
        <f>RTD("rtdtrading.rtdserver",, "PCAR3_B_0", "6M")</f>
        <v>-1.0498687664042003</v>
      </c>
      <c r="AG68">
        <f>RTD("rtdtrading.rtdserver",, "PCAR3_B_0", "12M")</f>
        <v>15.290519877675839</v>
      </c>
      <c r="AH68">
        <f>RTD("rtdtrading.rtdserver",, "PCAR3_B_0", "ANO")</f>
        <v>47.843137254901947</v>
      </c>
      <c r="AI68">
        <f>RTD("rtdtrading.rtdserver",, "PCAR3_B_0", "TRIM")</f>
        <v>-5.2763819095477382</v>
      </c>
      <c r="AJ68">
        <f>RTD("rtdtrading.rtdserver",, "PCAR3_B_0", "SEMES")</f>
        <v>22.402597402597401</v>
      </c>
      <c r="AK68" t="str">
        <f>RTD("rtdtrading.rtdserver",, "PCAR3_B_0", "VEN")</f>
        <v>-</v>
      </c>
      <c r="AL68" t="str">
        <f>RTD("rtdtrading.rtdserver",, "PCAR3_B_0", "VAL")</f>
        <v>31/12/9999</v>
      </c>
      <c r="AM68">
        <f>RTD("rtdtrading.rtdserver",, "PCAR3_B_0", "CAB")</f>
        <v>0</v>
      </c>
      <c r="AN68" t="str">
        <f>RTD("rtdtrading.rtdserver",, "PCAR3_B_0", "EST")</f>
        <v>Pré-Fechamento</v>
      </c>
      <c r="AO68" t="str">
        <f>RTD("rtdtrading.rtdserver",, "PCAR3_B_0", "BLACK")</f>
        <v>-</v>
      </c>
      <c r="AP68" t="str">
        <f>RTD("rtdtrading.rtdserver",, "PCAR3_B_0", "IMPVT")</f>
        <v>-</v>
      </c>
      <c r="AQ68" t="str">
        <f>RTD("rtdtrading.rtdserver",, "PCAR3_B_0", "DELTA")</f>
        <v>-</v>
      </c>
      <c r="AR68" t="str">
        <f>RTD("rtdtrading.rtdserver",, "PCAR3_B_0", "GAMA")</f>
        <v>-</v>
      </c>
      <c r="AS68" t="str">
        <f>RTD("rtdtrading.rtdserver",, "PCAR3_B_0", "THETA")</f>
        <v>-</v>
      </c>
      <c r="AT68" t="str">
        <f>RTD("rtdtrading.rtdserver",, "PCAR3_B_0", "RHO")</f>
        <v>-</v>
      </c>
      <c r="AU68" t="str">
        <f>RTD("rtdtrading.rtdserver",, "PCAR3_B_0", "VEGA")</f>
        <v>-</v>
      </c>
      <c r="AV68" t="str">
        <f>RTD("rtdtrading.rtdserver",, "PCAR3_B_0", "VIA")</f>
        <v>-</v>
      </c>
      <c r="AW68" t="str">
        <f>RTD("rtdtrading.rtdserver",, "PCAR3_B_0", "VIB")</f>
        <v>-</v>
      </c>
      <c r="AX68" t="str">
        <f>RTD("rtdtrading.rtdserver",, "PCAR3_B_0", "DOBRAR")</f>
        <v>-</v>
      </c>
      <c r="AY68" t="str">
        <f>RTD("rtdtrading.rtdserver",, "PCAR3_B_0", "VIVH")</f>
        <v>-</v>
      </c>
      <c r="AZ68" t="str">
        <f>RTD("rtdtrading.rtdserver",, "PCAR3_B_0", "VINT")</f>
        <v>-</v>
      </c>
      <c r="BA68" t="str">
        <f>RTD("rtdtrading.rtdserver",, "PCAR3_B_0", "VEXT")</f>
        <v>-</v>
      </c>
    </row>
    <row r="69" spans="3:53" x14ac:dyDescent="0.25">
      <c r="C69" t="s">
        <v>357</v>
      </c>
      <c r="D69" t="str">
        <f>RTD("rtdtrading.rtdserver",, "AGRO3_B_0", "DAT")</f>
        <v>14/10/2025</v>
      </c>
      <c r="E69" t="str">
        <f>RTD("rtdtrading.rtdserver",, "AGRO3_B_0", "HOR")</f>
        <v>17:06:00</v>
      </c>
      <c r="F69">
        <f>RTD("rtdtrading.rtdserver",, "AGRO3_B_0", "ULT")</f>
        <v>20.14</v>
      </c>
      <c r="G69">
        <f>RTD("rtdtrading.rtdserver",, "AGRO3_B_0", "ABE")</f>
        <v>20.11</v>
      </c>
      <c r="H69">
        <f>RTD("rtdtrading.rtdserver",, "AGRO3_B_0", "MAX")</f>
        <v>20.21</v>
      </c>
      <c r="I69">
        <f>RTD("rtdtrading.rtdserver",, "AGRO3_B_0", "MIN")</f>
        <v>20.079999999999998</v>
      </c>
      <c r="J69">
        <f>RTD("rtdtrading.rtdserver",, "AGRO3_B_0", "FEC")</f>
        <v>20.2</v>
      </c>
      <c r="K69">
        <f>RTD("rtdtrading.rtdserver",, "AGRO3_B_0", "PEX")</f>
        <v>0</v>
      </c>
      <c r="L69">
        <f>RTD("rtdtrading.rtdserver",, "AGRO3_B_0", "VAR")</f>
        <v>-0.29702970297029069</v>
      </c>
      <c r="M69">
        <f>RTD("rtdtrading.rtdserver",, "AGRO3_B_0", "VARPTS")</f>
        <v>-5.9999999999998721E-2</v>
      </c>
      <c r="N69">
        <f>RTD("rtdtrading.rtdserver",, "AGRO3_B_0", "MED")</f>
        <v>20.143014048531288</v>
      </c>
      <c r="O69" t="s">
        <v>358</v>
      </c>
      <c r="P69">
        <f>RTD("rtdtrading.rtdserver",, "AGRO3_B_0", "NEG")</f>
        <v>780</v>
      </c>
      <c r="Q69">
        <f>RTD("rtdtrading.rtdserver",, "AGRO3_B_0", "QUL")</f>
        <v>0</v>
      </c>
      <c r="R69">
        <f>RTD("rtdtrading.rtdserver",, "AGRO3_B_0", "QTT")</f>
        <v>156600</v>
      </c>
      <c r="S69">
        <f>RTD("rtdtrading.rtdserver",, "AGRO3_B_0", "VOL")</f>
        <v>3154396</v>
      </c>
      <c r="T69">
        <f>RTD("rtdtrading.rtdserver",, "AGRO3_B_0", "OCP")</f>
        <v>20.100000000000001</v>
      </c>
      <c r="U69">
        <f>RTD("rtdtrading.rtdserver",, "AGRO3_B_0", "OVD")</f>
        <v>20.14</v>
      </c>
      <c r="V69">
        <f>RTD("rtdtrading.rtdserver",, "AGRO3_B_0", "VOC")</f>
        <v>200</v>
      </c>
      <c r="W69">
        <f>RTD("rtdtrading.rtdserver",, "AGRO3_B_0", "VOV")</f>
        <v>100</v>
      </c>
      <c r="X69">
        <f>RTD("rtdtrading.rtdserver",, "AGRO3_B_0", "AJU")</f>
        <v>0</v>
      </c>
      <c r="Y69">
        <f>RTD("rtdtrading.rtdserver",, "AGRO3_B_0", "AJA")</f>
        <v>0</v>
      </c>
      <c r="Z69">
        <f>RTD("rtdtrading.rtdserver",, "AGRO3_B_0", "PRT")</f>
        <v>0</v>
      </c>
      <c r="AA69">
        <f>RTD("rtdtrading.rtdserver",, "AGRO3_B_0", "QTE")</f>
        <v>0</v>
      </c>
      <c r="AB69">
        <f>RTD("rtdtrading.rtdserver",, "AGRO3_B_0", "VPJ")</f>
        <v>3154396</v>
      </c>
      <c r="AC69">
        <f>RTD("rtdtrading.rtdserver",, "AGRO3_B_0", "SEM")</f>
        <v>-0.44488383588729541</v>
      </c>
      <c r="AD69">
        <f>RTD("rtdtrading.rtdserver",, "AGRO3_B_0", "MES")</f>
        <v>-0.54320987654320707</v>
      </c>
      <c r="AE69">
        <f>RTD("rtdtrading.rtdserver",, "AGRO3_B_0", "3M")</f>
        <v>-1.515892420537891</v>
      </c>
      <c r="AF69">
        <f>RTD("rtdtrading.rtdserver",, "AGRO3_B_0", "6M")</f>
        <v>-8.6206896551724235</v>
      </c>
      <c r="AG69">
        <f>RTD("rtdtrading.rtdserver",, "AGRO3_B_0", "12M")</f>
        <v>-13.155591201721373</v>
      </c>
      <c r="AH69">
        <f>RTD("rtdtrading.rtdserver",, "AGRO3_B_0", "ANO")</f>
        <v>-8.9511754068716112</v>
      </c>
      <c r="AI69">
        <f>RTD("rtdtrading.rtdserver",, "AGRO3_B_0", "TRIM")</f>
        <v>-0.54320987654320707</v>
      </c>
      <c r="AJ69">
        <f>RTD("rtdtrading.rtdserver",, "AGRO3_B_0", "SEMES")</f>
        <v>1.7171717171717165</v>
      </c>
      <c r="AK69" t="str">
        <f>RTD("rtdtrading.rtdserver",, "AGRO3_B_0", "VEN")</f>
        <v>-</v>
      </c>
      <c r="AL69" t="str">
        <f>RTD("rtdtrading.rtdserver",, "AGRO3_B_0", "VAL")</f>
        <v>31/12/9999</v>
      </c>
      <c r="AM69">
        <f>RTD("rtdtrading.rtdserver",, "AGRO3_B_0", "CAB")</f>
        <v>0</v>
      </c>
      <c r="AN69" t="str">
        <f>RTD("rtdtrading.rtdserver",, "AGRO3_B_0", "EST")</f>
        <v>Pré-Fechamento</v>
      </c>
      <c r="AO69" t="str">
        <f>RTD("rtdtrading.rtdserver",, "AGRO3_B_0", "BLACK")</f>
        <v>-</v>
      </c>
      <c r="AP69" t="str">
        <f>RTD("rtdtrading.rtdserver",, "AGRO3_B_0", "IMPVT")</f>
        <v>-</v>
      </c>
      <c r="AQ69" t="str">
        <f>RTD("rtdtrading.rtdserver",, "AGRO3_B_0", "DELTA")</f>
        <v>-</v>
      </c>
      <c r="AR69" t="str">
        <f>RTD("rtdtrading.rtdserver",, "AGRO3_B_0", "GAMA")</f>
        <v>-</v>
      </c>
      <c r="AS69" t="str">
        <f>RTD("rtdtrading.rtdserver",, "AGRO3_B_0", "THETA")</f>
        <v>-</v>
      </c>
      <c r="AT69" t="str">
        <f>RTD("rtdtrading.rtdserver",, "AGRO3_B_0", "RHO")</f>
        <v>-</v>
      </c>
      <c r="AU69" t="str">
        <f>RTD("rtdtrading.rtdserver",, "AGRO3_B_0", "VEGA")</f>
        <v>-</v>
      </c>
      <c r="AV69" t="str">
        <f>RTD("rtdtrading.rtdserver",, "AGRO3_B_0", "VIA")</f>
        <v>-</v>
      </c>
      <c r="AW69" t="str">
        <f>RTD("rtdtrading.rtdserver",, "AGRO3_B_0", "VIB")</f>
        <v>-</v>
      </c>
      <c r="AX69" t="str">
        <f>RTD("rtdtrading.rtdserver",, "AGRO3_B_0", "DOBRAR")</f>
        <v>-</v>
      </c>
      <c r="AY69" t="str">
        <f>RTD("rtdtrading.rtdserver",, "AGRO3_B_0", "VIVH")</f>
        <v>-</v>
      </c>
      <c r="AZ69" t="str">
        <f>RTD("rtdtrading.rtdserver",, "AGRO3_B_0", "VINT")</f>
        <v>-</v>
      </c>
      <c r="BA69" t="str">
        <f>RTD("rtdtrading.rtdserver",, "AGRO3_B_0", "VEXT")</f>
        <v>-</v>
      </c>
    </row>
    <row r="70" spans="3:53" x14ac:dyDescent="0.25">
      <c r="C70" t="s">
        <v>359</v>
      </c>
      <c r="D70" t="str">
        <f>RTD("rtdtrading.rtdserver",, "ARZZ3_B_0", "DAT")</f>
        <v>30/12/1899</v>
      </c>
      <c r="E70" t="str">
        <f>RTD("rtdtrading.rtdserver",, "ARZZ3_B_0", "HOR")</f>
        <v>00:00:00</v>
      </c>
      <c r="F70">
        <f>RTD("rtdtrading.rtdserver",, "ARZZ3_B_0", "ULT")</f>
        <v>0</v>
      </c>
      <c r="G70">
        <f>RTD("rtdtrading.rtdserver",, "ARZZ3_B_0", "ABE")</f>
        <v>0</v>
      </c>
      <c r="H70">
        <f>RTD("rtdtrading.rtdserver",, "ARZZ3_B_0", "MAX")</f>
        <v>0</v>
      </c>
      <c r="I70">
        <f>RTD("rtdtrading.rtdserver",, "ARZZ3_B_0", "MIN")</f>
        <v>0</v>
      </c>
      <c r="J70">
        <f>RTD("rtdtrading.rtdserver",, "ARZZ3_B_0", "FEC")</f>
        <v>0</v>
      </c>
      <c r="K70">
        <f>RTD("rtdtrading.rtdserver",, "ARZZ3_B_0", "PEX")</f>
        <v>0</v>
      </c>
      <c r="L70">
        <f>RTD("rtdtrading.rtdserver",, "ARZZ3_B_0", "VAR")</f>
        <v>0</v>
      </c>
      <c r="M70">
        <f>RTD("rtdtrading.rtdserver",, "ARZZ3_B_0", "VARPTS")</f>
        <v>0</v>
      </c>
      <c r="N70">
        <f>RTD("rtdtrading.rtdserver",, "ARZZ3_B_0", "MED")</f>
        <v>0</v>
      </c>
      <c r="O70" t="s">
        <v>360</v>
      </c>
      <c r="P70">
        <f>RTD("rtdtrading.rtdserver",, "ARZZ3_B_0", "NEG")</f>
        <v>0</v>
      </c>
      <c r="Q70">
        <f>RTD("rtdtrading.rtdserver",, "ARZZ3_B_0", "QUL")</f>
        <v>0</v>
      </c>
      <c r="R70">
        <f>RTD("rtdtrading.rtdserver",, "ARZZ3_B_0", "QTT")</f>
        <v>0</v>
      </c>
      <c r="S70">
        <f>RTD("rtdtrading.rtdserver",, "ARZZ3_B_0", "VOL")</f>
        <v>0</v>
      </c>
      <c r="T70">
        <f>RTD("rtdtrading.rtdserver",, "ARZZ3_B_0", "OCP")</f>
        <v>0</v>
      </c>
      <c r="U70">
        <f>RTD("rtdtrading.rtdserver",, "ARZZ3_B_0", "OVD")</f>
        <v>0</v>
      </c>
      <c r="V70">
        <f>RTD("rtdtrading.rtdserver",, "ARZZ3_B_0", "VOC")</f>
        <v>0</v>
      </c>
      <c r="W70">
        <f>RTD("rtdtrading.rtdserver",, "ARZZ3_B_0", "VOV")</f>
        <v>0</v>
      </c>
      <c r="X70">
        <f>RTD("rtdtrading.rtdserver",, "ARZZ3_B_0", "AJU")</f>
        <v>0</v>
      </c>
      <c r="Y70">
        <f>RTD("rtdtrading.rtdserver",, "ARZZ3_B_0", "AJA")</f>
        <v>0</v>
      </c>
      <c r="Z70">
        <f>RTD("rtdtrading.rtdserver",, "ARZZ3_B_0", "PRT")</f>
        <v>0</v>
      </c>
      <c r="AA70">
        <f>RTD("rtdtrading.rtdserver",, "ARZZ3_B_0", "QTE")</f>
        <v>0</v>
      </c>
      <c r="AB70">
        <f>RTD("rtdtrading.rtdserver",, "ARZZ3_B_0", "VPJ")</f>
        <v>0</v>
      </c>
      <c r="AC70">
        <f>RTD("rtdtrading.rtdserver",, "ARZZ3_B_0", "SEM")</f>
        <v>0</v>
      </c>
      <c r="AD70">
        <f>RTD("rtdtrading.rtdserver",, "ARZZ3_B_0", "MES")</f>
        <v>0</v>
      </c>
      <c r="AE70">
        <f>RTD("rtdtrading.rtdserver",, "ARZZ3_B_0", "3M")</f>
        <v>0</v>
      </c>
      <c r="AF70">
        <f>RTD("rtdtrading.rtdserver",, "ARZZ3_B_0", "6M")</f>
        <v>0</v>
      </c>
      <c r="AG70">
        <f>RTD("rtdtrading.rtdserver",, "ARZZ3_B_0", "12M")</f>
        <v>0</v>
      </c>
      <c r="AH70">
        <f>RTD("rtdtrading.rtdserver",, "ARZZ3_B_0", "ANO")</f>
        <v>0</v>
      </c>
      <c r="AI70">
        <f>RTD("rtdtrading.rtdserver",, "ARZZ3_B_0", "TRIM")</f>
        <v>0</v>
      </c>
      <c r="AJ70">
        <f>RTD("rtdtrading.rtdserver",, "ARZZ3_B_0", "SEMES")</f>
        <v>0</v>
      </c>
      <c r="AK70" t="str">
        <f>RTD("rtdtrading.rtdserver",, "ARZZ3_B_0", "VEN")</f>
        <v>-</v>
      </c>
      <c r="AL70" t="str">
        <f>RTD("rtdtrading.rtdserver",, "ARZZ3_B_0", "VAL")</f>
        <v>31/12/9999</v>
      </c>
      <c r="AM70">
        <f>RTD("rtdtrading.rtdserver",, "ARZZ3_B_0", "CAB")</f>
        <v>0</v>
      </c>
      <c r="AN70" t="str">
        <f>RTD("rtdtrading.rtdserver",, "ARZZ3_B_0", "EST")</f>
        <v>NONE</v>
      </c>
      <c r="AO70" t="str">
        <f>RTD("rtdtrading.rtdserver",, "ARZZ3_B_0", "BLACK")</f>
        <v>-</v>
      </c>
      <c r="AP70" t="str">
        <f>RTD("rtdtrading.rtdserver",, "ARZZ3_B_0", "IMPVT")</f>
        <v>-</v>
      </c>
      <c r="AQ70" t="str">
        <f>RTD("rtdtrading.rtdserver",, "ARZZ3_B_0", "DELTA")</f>
        <v>-</v>
      </c>
      <c r="AR70" t="str">
        <f>RTD("rtdtrading.rtdserver",, "ARZZ3_B_0", "GAMA")</f>
        <v>-</v>
      </c>
      <c r="AS70" t="str">
        <f>RTD("rtdtrading.rtdserver",, "ARZZ3_B_0", "THETA")</f>
        <v>-</v>
      </c>
      <c r="AT70" t="str">
        <f>RTD("rtdtrading.rtdserver",, "ARZZ3_B_0", "RHO")</f>
        <v>-</v>
      </c>
      <c r="AU70" t="str">
        <f>RTD("rtdtrading.rtdserver",, "ARZZ3_B_0", "VEGA")</f>
        <v>-</v>
      </c>
      <c r="AV70" t="str">
        <f>RTD("rtdtrading.rtdserver",, "ARZZ3_B_0", "VIA")</f>
        <v>-</v>
      </c>
      <c r="AW70" t="str">
        <f>RTD("rtdtrading.rtdserver",, "ARZZ3_B_0", "VIB")</f>
        <v>-</v>
      </c>
      <c r="AX70" t="str">
        <f>RTD("rtdtrading.rtdserver",, "ARZZ3_B_0", "DOBRAR")</f>
        <v>-</v>
      </c>
      <c r="AY70" t="str">
        <f>RTD("rtdtrading.rtdserver",, "ARZZ3_B_0", "VIVH")</f>
        <v>-</v>
      </c>
      <c r="AZ70" t="str">
        <f>RTD("rtdtrading.rtdserver",, "ARZZ3_B_0", "VINT")</f>
        <v>-</v>
      </c>
      <c r="BA70" t="str">
        <f>RTD("rtdtrading.rtdserver",, "ARZZ3_B_0", "VEXT")</f>
        <v>-</v>
      </c>
    </row>
    <row r="71" spans="3:53" x14ac:dyDescent="0.25">
      <c r="C71" t="s">
        <v>362</v>
      </c>
      <c r="D71" t="str">
        <f>RTD("rtdtrading.rtdserver",, "KEPL3_B_0", "DAT")</f>
        <v>14/10/2025</v>
      </c>
      <c r="E71" t="str">
        <f>RTD("rtdtrading.rtdserver",, "KEPL3_B_0", "HOR")</f>
        <v>17:07:38</v>
      </c>
      <c r="F71">
        <f>RTD("rtdtrading.rtdserver",, "KEPL3_B_0", "ULT")</f>
        <v>7.0900000000000007</v>
      </c>
      <c r="G71">
        <f>RTD("rtdtrading.rtdserver",, "KEPL3_B_0", "ABE")</f>
        <v>7.1</v>
      </c>
      <c r="H71">
        <f>RTD("rtdtrading.rtdserver",, "KEPL3_B_0", "MAX")</f>
        <v>7.15</v>
      </c>
      <c r="I71">
        <f>RTD("rtdtrading.rtdserver",, "KEPL3_B_0", "MIN")</f>
        <v>7.07</v>
      </c>
      <c r="J71">
        <f>RTD("rtdtrading.rtdserver",, "KEPL3_B_0", "FEC")</f>
        <v>7.11</v>
      </c>
      <c r="K71">
        <f>RTD("rtdtrading.rtdserver",, "KEPL3_B_0", "PEX")</f>
        <v>0</v>
      </c>
      <c r="L71">
        <f>RTD("rtdtrading.rtdserver",, "KEPL3_B_0", "VAR")</f>
        <v>-0.28129395218002212</v>
      </c>
      <c r="M71">
        <f>RTD("rtdtrading.rtdserver",, "KEPL3_B_0", "VARPTS")</f>
        <v>-1.9999999999999574E-2</v>
      </c>
      <c r="N71">
        <f>RTD("rtdtrading.rtdserver",, "KEPL3_B_0", "MED")</f>
        <v>7.1048965820742263</v>
      </c>
      <c r="O71" t="s">
        <v>363</v>
      </c>
      <c r="P71">
        <f>RTD("rtdtrading.rtdserver",, "KEPL3_B_0", "NEG")</f>
        <v>2285</v>
      </c>
      <c r="Q71">
        <f>RTD("rtdtrading.rtdserver",, "KEPL3_B_0", "QUL")</f>
        <v>0</v>
      </c>
      <c r="R71">
        <f>RTD("rtdtrading.rtdserver",, "KEPL3_B_0", "QTT")</f>
        <v>681700</v>
      </c>
      <c r="S71">
        <f>RTD("rtdtrading.rtdserver",, "KEPL3_B_0", "VOL")</f>
        <v>4843408</v>
      </c>
      <c r="T71">
        <f>RTD("rtdtrading.rtdserver",, "KEPL3_B_0", "OCP")</f>
        <v>7.07</v>
      </c>
      <c r="U71">
        <f>RTD("rtdtrading.rtdserver",, "KEPL3_B_0", "OVD")</f>
        <v>7.2</v>
      </c>
      <c r="V71">
        <f>RTD("rtdtrading.rtdserver",, "KEPL3_B_0", "VOC")</f>
        <v>500</v>
      </c>
      <c r="W71">
        <f>RTD("rtdtrading.rtdserver",, "KEPL3_B_0", "VOV")</f>
        <v>100</v>
      </c>
      <c r="X71">
        <f>RTD("rtdtrading.rtdserver",, "KEPL3_B_0", "AJU")</f>
        <v>0</v>
      </c>
      <c r="Y71">
        <f>RTD("rtdtrading.rtdserver",, "KEPL3_B_0", "AJA")</f>
        <v>0</v>
      </c>
      <c r="Z71">
        <f>RTD("rtdtrading.rtdserver",, "KEPL3_B_0", "PRT")</f>
        <v>0</v>
      </c>
      <c r="AA71">
        <f>RTD("rtdtrading.rtdserver",, "KEPL3_B_0", "QTE")</f>
        <v>0</v>
      </c>
      <c r="AB71">
        <f>RTD("rtdtrading.rtdserver",, "KEPL3_B_0", "VPJ")</f>
        <v>4843408</v>
      </c>
      <c r="AC71">
        <f>RTD("rtdtrading.rtdserver",, "KEPL3_B_0", "SEM")</f>
        <v>-0.97765363128490768</v>
      </c>
      <c r="AD71">
        <f>RTD("rtdtrading.rtdserver",, "KEPL3_B_0", "MES")</f>
        <v>-3.1420765027322344</v>
      </c>
      <c r="AE71">
        <f>RTD("rtdtrading.rtdserver",, "KEPL3_B_0", "3M")</f>
        <v>-4.9852586437952269</v>
      </c>
      <c r="AF71">
        <f>RTD("rtdtrading.rtdserver",, "KEPL3_B_0", "6M")</f>
        <v>-2.6834122572232513</v>
      </c>
      <c r="AG71">
        <f>RTD("rtdtrading.rtdserver",, "KEPL3_B_0", "12M")</f>
        <v>-17.673014398513693</v>
      </c>
      <c r="AH71">
        <f>RTD("rtdtrading.rtdserver",, "KEPL3_B_0", "ANO")</f>
        <v>-18.016674182768472</v>
      </c>
      <c r="AI71">
        <f>RTD("rtdtrading.rtdserver",, "KEPL3_B_0", "TRIM")</f>
        <v>-3.1420765027322344</v>
      </c>
      <c r="AJ71">
        <f>RTD("rtdtrading.rtdserver",, "KEPL3_B_0", "SEMES")</f>
        <v>-11.171805505092891</v>
      </c>
      <c r="AK71" t="str">
        <f>RTD("rtdtrading.rtdserver",, "KEPL3_B_0", "VEN")</f>
        <v>-</v>
      </c>
      <c r="AL71" t="str">
        <f>RTD("rtdtrading.rtdserver",, "KEPL3_B_0", "VAL")</f>
        <v>31/12/9999</v>
      </c>
      <c r="AM71">
        <f>RTD("rtdtrading.rtdserver",, "KEPL3_B_0", "CAB")</f>
        <v>0</v>
      </c>
      <c r="AN71" t="str">
        <f>RTD("rtdtrading.rtdserver",, "KEPL3_B_0", "EST")</f>
        <v>Pré-Fechamento</v>
      </c>
      <c r="AO71" t="str">
        <f>RTD("rtdtrading.rtdserver",, "KEPL3_B_0", "BLACK")</f>
        <v>-</v>
      </c>
      <c r="AP71" t="str">
        <f>RTD("rtdtrading.rtdserver",, "KEPL3_B_0", "IMPVT")</f>
        <v>-</v>
      </c>
      <c r="AQ71" t="str">
        <f>RTD("rtdtrading.rtdserver",, "KEPL3_B_0", "DELTA")</f>
        <v>-</v>
      </c>
      <c r="AR71" t="str">
        <f>RTD("rtdtrading.rtdserver",, "KEPL3_B_0", "GAMA")</f>
        <v>-</v>
      </c>
      <c r="AS71" t="str">
        <f>RTD("rtdtrading.rtdserver",, "KEPL3_B_0", "THETA")</f>
        <v>-</v>
      </c>
      <c r="AT71" t="str">
        <f>RTD("rtdtrading.rtdserver",, "KEPL3_B_0", "RHO")</f>
        <v>-</v>
      </c>
      <c r="AU71" t="str">
        <f>RTD("rtdtrading.rtdserver",, "KEPL3_B_0", "VEGA")</f>
        <v>-</v>
      </c>
      <c r="AV71" t="str">
        <f>RTD("rtdtrading.rtdserver",, "KEPL3_B_0", "VIA")</f>
        <v>-</v>
      </c>
      <c r="AW71" t="str">
        <f>RTD("rtdtrading.rtdserver",, "KEPL3_B_0", "VIB")</f>
        <v>-</v>
      </c>
      <c r="AX71" t="str">
        <f>RTD("rtdtrading.rtdserver",, "KEPL3_B_0", "DOBRAR")</f>
        <v>-</v>
      </c>
      <c r="AY71" t="str">
        <f>RTD("rtdtrading.rtdserver",, "KEPL3_B_0", "VIVH")</f>
        <v>-</v>
      </c>
      <c r="AZ71" t="str">
        <f>RTD("rtdtrading.rtdserver",, "KEPL3_B_0", "VINT")</f>
        <v>-</v>
      </c>
      <c r="BA71" t="str">
        <f>RTD("rtdtrading.rtdserver",, "KEPL3_B_0", "VEXT")</f>
        <v>-</v>
      </c>
    </row>
    <row r="72" spans="3:53" x14ac:dyDescent="0.25">
      <c r="C72" t="s">
        <v>365</v>
      </c>
      <c r="D72" t="str">
        <f>RTD("rtdtrading.rtdserver",, "VAMO3_B_0", "DAT")</f>
        <v>14/10/2025</v>
      </c>
      <c r="E72" t="str">
        <f>RTD("rtdtrading.rtdserver",, "VAMO3_B_0", "HOR")</f>
        <v>17:07:30</v>
      </c>
      <c r="F72">
        <f>RTD("rtdtrading.rtdserver",, "VAMO3_B_0", "ULT")</f>
        <v>2.9000000000000004</v>
      </c>
      <c r="G72">
        <f>RTD("rtdtrading.rtdserver",, "VAMO3_B_0", "ABE")</f>
        <v>2.92</v>
      </c>
      <c r="H72">
        <f>RTD("rtdtrading.rtdserver",, "VAMO3_B_0", "MAX")</f>
        <v>2.98</v>
      </c>
      <c r="I72">
        <f>RTD("rtdtrading.rtdserver",, "VAMO3_B_0", "MIN")</f>
        <v>2.89</v>
      </c>
      <c r="J72">
        <f>RTD("rtdtrading.rtdserver",, "VAMO3_B_0", "FEC")</f>
        <v>2.93</v>
      </c>
      <c r="K72">
        <f>RTD("rtdtrading.rtdserver",, "VAMO3_B_0", "PEX")</f>
        <v>0</v>
      </c>
      <c r="L72">
        <f>RTD("rtdtrading.rtdserver",, "VAMO3_B_0", "VAR")</f>
        <v>-1.0238907849829284</v>
      </c>
      <c r="M72">
        <f>RTD("rtdtrading.rtdserver",, "VAMO3_B_0", "VARPTS")</f>
        <v>-2.9999999999999805E-2</v>
      </c>
      <c r="N72">
        <f>RTD("rtdtrading.rtdserver",, "VAMO3_B_0", "MED")</f>
        <v>2.9325371369756317</v>
      </c>
      <c r="O72" t="s">
        <v>366</v>
      </c>
      <c r="P72">
        <f>RTD("rtdtrading.rtdserver",, "VAMO3_B_0", "NEG")</f>
        <v>7577</v>
      </c>
      <c r="Q72">
        <f>RTD("rtdtrading.rtdserver",, "VAMO3_B_0", "QUL")</f>
        <v>0</v>
      </c>
      <c r="R72">
        <f>RTD("rtdtrading.rtdserver",, "VAMO3_B_0", "QTT")</f>
        <v>14379200</v>
      </c>
      <c r="S72">
        <f>RTD("rtdtrading.rtdserver",, "VAMO3_B_0", "VOL")</f>
        <v>42167538</v>
      </c>
      <c r="T72">
        <f>RTD("rtdtrading.rtdserver",, "VAMO3_B_0", "OCP")</f>
        <v>2.9</v>
      </c>
      <c r="U72">
        <f>RTD("rtdtrading.rtdserver",, "VAMO3_B_0", "OVD")</f>
        <v>2.94</v>
      </c>
      <c r="V72">
        <f>RTD("rtdtrading.rtdserver",, "VAMO3_B_0", "VOC")</f>
        <v>5200</v>
      </c>
      <c r="W72">
        <f>RTD("rtdtrading.rtdserver",, "VAMO3_B_0", "VOV")</f>
        <v>4100</v>
      </c>
      <c r="X72">
        <f>RTD("rtdtrading.rtdserver",, "VAMO3_B_0", "AJU")</f>
        <v>0</v>
      </c>
      <c r="Y72">
        <f>RTD("rtdtrading.rtdserver",, "VAMO3_B_0", "AJA")</f>
        <v>0</v>
      </c>
      <c r="Z72">
        <f>RTD("rtdtrading.rtdserver",, "VAMO3_B_0", "PRT")</f>
        <v>0</v>
      </c>
      <c r="AA72">
        <f>RTD("rtdtrading.rtdserver",, "VAMO3_B_0", "QTE")</f>
        <v>0</v>
      </c>
      <c r="AB72">
        <f>RTD("rtdtrading.rtdserver",, "VAMO3_B_0", "VPJ")</f>
        <v>42167538</v>
      </c>
      <c r="AC72">
        <f>RTD("rtdtrading.rtdserver",, "VAMO3_B_0", "SEM")</f>
        <v>-1.6949152542372818</v>
      </c>
      <c r="AD72">
        <f>RTD("rtdtrading.rtdserver",, "VAMO3_B_0", "MES")</f>
        <v>-15.942028985507239</v>
      </c>
      <c r="AE72">
        <f>RTD("rtdtrading.rtdserver",, "VAMO3_B_0", "3M")</f>
        <v>-26.767676767676768</v>
      </c>
      <c r="AF72">
        <f>RTD("rtdtrading.rtdserver",, "VAMO3_B_0", "6M")</f>
        <v>-40.45174537987679</v>
      </c>
      <c r="AG72">
        <f>RTD("rtdtrading.rtdserver",, "VAMO3_B_0", "12M")</f>
        <v>-44.165270798436623</v>
      </c>
      <c r="AH72">
        <f>RTD("rtdtrading.rtdserver",, "VAMO3_B_0", "ANO")</f>
        <v>-38.947368421052623</v>
      </c>
      <c r="AI72">
        <f>RTD("rtdtrading.rtdserver",, "VAMO3_B_0", "TRIM")</f>
        <v>-15.942028985507239</v>
      </c>
      <c r="AJ72">
        <f>RTD("rtdtrading.rtdserver",, "VAMO3_B_0", "SEMES")</f>
        <v>-30.62200956937799</v>
      </c>
      <c r="AK72" t="str">
        <f>RTD("rtdtrading.rtdserver",, "VAMO3_B_0", "VEN")</f>
        <v>-</v>
      </c>
      <c r="AL72" t="str">
        <f>RTD("rtdtrading.rtdserver",, "VAMO3_B_0", "VAL")</f>
        <v>31/12/9999</v>
      </c>
      <c r="AM72">
        <f>RTD("rtdtrading.rtdserver",, "VAMO3_B_0", "CAB")</f>
        <v>0</v>
      </c>
      <c r="AN72" t="str">
        <f>RTD("rtdtrading.rtdserver",, "VAMO3_B_0", "EST")</f>
        <v>Pré-Fechamento</v>
      </c>
      <c r="AO72" t="str">
        <f>RTD("rtdtrading.rtdserver",, "VAMO3_B_0", "BLACK")</f>
        <v>-</v>
      </c>
      <c r="AP72" t="str">
        <f>RTD("rtdtrading.rtdserver",, "VAMO3_B_0", "IMPVT")</f>
        <v>-</v>
      </c>
      <c r="AQ72" t="str">
        <f>RTD("rtdtrading.rtdserver",, "VAMO3_B_0", "DELTA")</f>
        <v>-</v>
      </c>
      <c r="AR72" t="str">
        <f>RTD("rtdtrading.rtdserver",, "VAMO3_B_0", "GAMA")</f>
        <v>-</v>
      </c>
      <c r="AS72" t="str">
        <f>RTD("rtdtrading.rtdserver",, "VAMO3_B_0", "THETA")</f>
        <v>-</v>
      </c>
      <c r="AT72" t="str">
        <f>RTD("rtdtrading.rtdserver",, "VAMO3_B_0", "RHO")</f>
        <v>-</v>
      </c>
      <c r="AU72" t="str">
        <f>RTD("rtdtrading.rtdserver",, "VAMO3_B_0", "VEGA")</f>
        <v>-</v>
      </c>
      <c r="AV72" t="str">
        <f>RTD("rtdtrading.rtdserver",, "VAMO3_B_0", "VIA")</f>
        <v>-</v>
      </c>
      <c r="AW72" t="str">
        <f>RTD("rtdtrading.rtdserver",, "VAMO3_B_0", "VIB")</f>
        <v>-</v>
      </c>
      <c r="AX72" t="str">
        <f>RTD("rtdtrading.rtdserver",, "VAMO3_B_0", "DOBRAR")</f>
        <v>-</v>
      </c>
      <c r="AY72" t="str">
        <f>RTD("rtdtrading.rtdserver",, "VAMO3_B_0", "VIVH")</f>
        <v>-</v>
      </c>
      <c r="AZ72" t="str">
        <f>RTD("rtdtrading.rtdserver",, "VAMO3_B_0", "VINT")</f>
        <v>-</v>
      </c>
      <c r="BA72" t="str">
        <f>RTD("rtdtrading.rtdserver",, "VAMO3_B_0", "VEXT")</f>
        <v>-</v>
      </c>
    </row>
    <row r="73" spans="3:53" x14ac:dyDescent="0.25">
      <c r="C73" t="s">
        <v>369</v>
      </c>
      <c r="D73" t="str">
        <f>RTD("rtdtrading.rtdserver",, "DXCO3_B_0", "DAT")</f>
        <v>14/10/2025</v>
      </c>
      <c r="E73" t="str">
        <f>RTD("rtdtrading.rtdserver",, "DXCO3_B_0", "HOR")</f>
        <v>17:06:00</v>
      </c>
      <c r="F73">
        <f>RTD("rtdtrading.rtdserver",, "DXCO3_B_0", "ULT")</f>
        <v>4.9700000000000006</v>
      </c>
      <c r="G73">
        <f>RTD("rtdtrading.rtdserver",, "DXCO3_B_0", "ABE")</f>
        <v>5.1100000000000003</v>
      </c>
      <c r="H73">
        <f>RTD("rtdtrading.rtdserver",, "DXCO3_B_0", "MAX")</f>
        <v>5.1100000000000003</v>
      </c>
      <c r="I73">
        <f>RTD("rtdtrading.rtdserver",, "DXCO3_B_0", "MIN")</f>
        <v>4.97</v>
      </c>
      <c r="J73">
        <f>RTD("rtdtrading.rtdserver",, "DXCO3_B_0", "FEC")</f>
        <v>5.0200000000000005</v>
      </c>
      <c r="K73">
        <f>RTD("rtdtrading.rtdserver",, "DXCO3_B_0", "PEX")</f>
        <v>0</v>
      </c>
      <c r="L73">
        <f>RTD("rtdtrading.rtdserver",, "DXCO3_B_0", "VAR")</f>
        <v>-0.99601593625497642</v>
      </c>
      <c r="M73">
        <f>RTD("rtdtrading.rtdserver",, "DXCO3_B_0", "VARPTS")</f>
        <v>-4.9999999999999822E-2</v>
      </c>
      <c r="N73">
        <f>RTD("rtdtrading.rtdserver",, "DXCO3_B_0", "MED")</f>
        <v>5.0079813296453617</v>
      </c>
      <c r="O73" t="s">
        <v>370</v>
      </c>
      <c r="P73">
        <f>RTD("rtdtrading.rtdserver",, "DXCO3_B_0", "NEG")</f>
        <v>4395</v>
      </c>
      <c r="Q73">
        <f>RTD("rtdtrading.rtdserver",, "DXCO3_B_0", "QUL")</f>
        <v>0</v>
      </c>
      <c r="R73">
        <f>RTD("rtdtrading.rtdserver",, "DXCO3_B_0", "QTT")</f>
        <v>2024600</v>
      </c>
      <c r="S73">
        <f>RTD("rtdtrading.rtdserver",, "DXCO3_B_0", "VOL")</f>
        <v>10139159</v>
      </c>
      <c r="T73">
        <f>RTD("rtdtrading.rtdserver",, "DXCO3_B_0", "OCP")</f>
        <v>4.96</v>
      </c>
      <c r="U73">
        <f>RTD("rtdtrading.rtdserver",, "DXCO3_B_0", "OVD")</f>
        <v>5.1100000000000003</v>
      </c>
      <c r="V73">
        <f>RTD("rtdtrading.rtdserver",, "DXCO3_B_0", "VOC")</f>
        <v>3100</v>
      </c>
      <c r="W73">
        <f>RTD("rtdtrading.rtdserver",, "DXCO3_B_0", "VOV")</f>
        <v>700</v>
      </c>
      <c r="X73">
        <f>RTD("rtdtrading.rtdserver",, "DXCO3_B_0", "AJU")</f>
        <v>0</v>
      </c>
      <c r="Y73">
        <f>RTD("rtdtrading.rtdserver",, "DXCO3_B_0", "AJA")</f>
        <v>0</v>
      </c>
      <c r="Z73">
        <f>RTD("rtdtrading.rtdserver",, "DXCO3_B_0", "PRT")</f>
        <v>0</v>
      </c>
      <c r="AA73">
        <f>RTD("rtdtrading.rtdserver",, "DXCO3_B_0", "QTE")</f>
        <v>0</v>
      </c>
      <c r="AB73">
        <f>RTD("rtdtrading.rtdserver",, "DXCO3_B_0", "VPJ")</f>
        <v>10139159</v>
      </c>
      <c r="AC73">
        <f>RTD("rtdtrading.rtdserver",, "DXCO3_B_0", "SEM")</f>
        <v>-0.59999999999998721</v>
      </c>
      <c r="AD73">
        <f>RTD("rtdtrading.rtdserver",, "DXCO3_B_0", "MES")</f>
        <v>-14.310344827586208</v>
      </c>
      <c r="AE73">
        <f>RTD("rtdtrading.rtdserver",, "DXCO3_B_0", "3M")</f>
        <v>-5.5133079847908748</v>
      </c>
      <c r="AF73">
        <f>RTD("rtdtrading.rtdserver",, "DXCO3_B_0", "6M")</f>
        <v>-4.4230769230769145</v>
      </c>
      <c r="AG73">
        <f>RTD("rtdtrading.rtdserver",, "DXCO3_B_0", "12M")</f>
        <v>-37.628633100747955</v>
      </c>
      <c r="AH73">
        <f>RTD("rtdtrading.rtdserver",, "DXCO3_B_0", "ANO")</f>
        <v>-16.501461644433984</v>
      </c>
      <c r="AI73">
        <f>RTD("rtdtrading.rtdserver",, "DXCO3_B_0", "TRIM")</f>
        <v>-14.310344827586208</v>
      </c>
      <c r="AJ73">
        <f>RTD("rtdtrading.rtdserver",, "DXCO3_B_0", "SEMES")</f>
        <v>-12.345679012345666</v>
      </c>
      <c r="AK73" t="str">
        <f>RTD("rtdtrading.rtdserver",, "DXCO3_B_0", "VEN")</f>
        <v>-</v>
      </c>
      <c r="AL73" t="str">
        <f>RTD("rtdtrading.rtdserver",, "DXCO3_B_0", "VAL")</f>
        <v>31/12/9999</v>
      </c>
      <c r="AM73">
        <f>RTD("rtdtrading.rtdserver",, "DXCO3_B_0", "CAB")</f>
        <v>0</v>
      </c>
      <c r="AN73" t="str">
        <f>RTD("rtdtrading.rtdserver",, "DXCO3_B_0", "EST")</f>
        <v>Pré-Fechamento</v>
      </c>
      <c r="AO73" t="str">
        <f>RTD("rtdtrading.rtdserver",, "DXCO3_B_0", "BLACK")</f>
        <v>-</v>
      </c>
      <c r="AP73" t="str">
        <f>RTD("rtdtrading.rtdserver",, "DXCO3_B_0", "IMPVT")</f>
        <v>-</v>
      </c>
      <c r="AQ73" t="str">
        <f>RTD("rtdtrading.rtdserver",, "DXCO3_B_0", "DELTA")</f>
        <v>-</v>
      </c>
      <c r="AR73" t="str">
        <f>RTD("rtdtrading.rtdserver",, "DXCO3_B_0", "GAMA")</f>
        <v>-</v>
      </c>
      <c r="AS73" t="str">
        <f>RTD("rtdtrading.rtdserver",, "DXCO3_B_0", "THETA")</f>
        <v>-</v>
      </c>
      <c r="AT73" t="str">
        <f>RTD("rtdtrading.rtdserver",, "DXCO3_B_0", "RHO")</f>
        <v>-</v>
      </c>
      <c r="AU73" t="str">
        <f>RTD("rtdtrading.rtdserver",, "DXCO3_B_0", "VEGA")</f>
        <v>-</v>
      </c>
      <c r="AV73" t="str">
        <f>RTD("rtdtrading.rtdserver",, "DXCO3_B_0", "VIA")</f>
        <v>-</v>
      </c>
      <c r="AW73" t="str">
        <f>RTD("rtdtrading.rtdserver",, "DXCO3_B_0", "VIB")</f>
        <v>-</v>
      </c>
      <c r="AX73" t="str">
        <f>RTD("rtdtrading.rtdserver",, "DXCO3_B_0", "DOBRAR")</f>
        <v>-</v>
      </c>
      <c r="AY73" t="str">
        <f>RTD("rtdtrading.rtdserver",, "DXCO3_B_0", "VIVH")</f>
        <v>-</v>
      </c>
      <c r="AZ73" t="str">
        <f>RTD("rtdtrading.rtdserver",, "DXCO3_B_0", "VINT")</f>
        <v>-</v>
      </c>
      <c r="BA73" t="str">
        <f>RTD("rtdtrading.rtdserver",, "DXCO3_B_0", "VEXT")</f>
        <v>-</v>
      </c>
    </row>
    <row r="74" spans="3:53" x14ac:dyDescent="0.25">
      <c r="C74" t="s">
        <v>373</v>
      </c>
      <c r="D74" t="str">
        <f>RTD("rtdtrading.rtdserver",, "RAPT4_B_0", "DAT")</f>
        <v>14/10/2025</v>
      </c>
      <c r="E74" t="str">
        <f>RTD("rtdtrading.rtdserver",, "RAPT4_B_0", "HOR")</f>
        <v>17:07:00</v>
      </c>
      <c r="F74">
        <f>RTD("rtdtrading.rtdserver",, "RAPT4_B_0", "ULT")</f>
        <v>5.29</v>
      </c>
      <c r="G74">
        <f>RTD("rtdtrading.rtdserver",, "RAPT4_B_0", "ABE")</f>
        <v>5.17</v>
      </c>
      <c r="H74">
        <f>RTD("rtdtrading.rtdserver",, "RAPT4_B_0", "MAX")</f>
        <v>5.33</v>
      </c>
      <c r="I74">
        <f>RTD("rtdtrading.rtdserver",, "RAPT4_B_0", "MIN")</f>
        <v>5.16</v>
      </c>
      <c r="J74">
        <f>RTD("rtdtrading.rtdserver",, "RAPT4_B_0", "FEC")</f>
        <v>5.24</v>
      </c>
      <c r="K74">
        <f>RTD("rtdtrading.rtdserver",, "RAPT4_B_0", "PEX")</f>
        <v>0</v>
      </c>
      <c r="L74">
        <f>RTD("rtdtrading.rtdserver",, "RAPT4_B_0", "VAR")</f>
        <v>0.95419847328243934</v>
      </c>
      <c r="M74">
        <f>RTD("rtdtrading.rtdserver",, "RAPT4_B_0", "VARPTS")</f>
        <v>4.9999999999999822E-2</v>
      </c>
      <c r="N74">
        <f>RTD("rtdtrading.rtdserver",, "RAPT4_B_0", "MED")</f>
        <v>5.2600153982824995</v>
      </c>
      <c r="O74" t="s">
        <v>374</v>
      </c>
      <c r="P74">
        <f>RTD("rtdtrading.rtdserver",, "RAPT4_B_0", "NEG")</f>
        <v>2778</v>
      </c>
      <c r="Q74">
        <f>RTD("rtdtrading.rtdserver",, "RAPT4_B_0", "QUL")</f>
        <v>0</v>
      </c>
      <c r="R74">
        <f>RTD("rtdtrading.rtdserver",, "RAPT4_B_0", "QTT")</f>
        <v>1688500</v>
      </c>
      <c r="S74">
        <f>RTD("rtdtrading.rtdserver",, "RAPT4_B_0", "VOL")</f>
        <v>8881536</v>
      </c>
      <c r="T74">
        <f>RTD("rtdtrading.rtdserver",, "RAPT4_B_0", "OCP")</f>
        <v>5.22</v>
      </c>
      <c r="U74">
        <f>RTD("rtdtrading.rtdserver",, "RAPT4_B_0", "OVD")</f>
        <v>5.3100000000000005</v>
      </c>
      <c r="V74">
        <f>RTD("rtdtrading.rtdserver",, "RAPT4_B_0", "VOC")</f>
        <v>200</v>
      </c>
      <c r="W74">
        <f>RTD("rtdtrading.rtdserver",, "RAPT4_B_0", "VOV")</f>
        <v>100</v>
      </c>
      <c r="X74">
        <f>RTD("rtdtrading.rtdserver",, "RAPT4_B_0", "AJU")</f>
        <v>0</v>
      </c>
      <c r="Y74">
        <f>RTD("rtdtrading.rtdserver",, "RAPT4_B_0", "AJA")</f>
        <v>0</v>
      </c>
      <c r="Z74">
        <f>RTD("rtdtrading.rtdserver",, "RAPT4_B_0", "PRT")</f>
        <v>0</v>
      </c>
      <c r="AA74">
        <f>RTD("rtdtrading.rtdserver",, "RAPT4_B_0", "QTE")</f>
        <v>0</v>
      </c>
      <c r="AB74">
        <f>RTD("rtdtrading.rtdserver",, "RAPT4_B_0", "VPJ")</f>
        <v>8881536</v>
      </c>
      <c r="AC74">
        <f>RTD("rtdtrading.rtdserver",, "RAPT4_B_0", "SEM")</f>
        <v>0.18939393939393534</v>
      </c>
      <c r="AD74">
        <f>RTD("rtdtrading.rtdserver",, "RAPT4_B_0", "MES")</f>
        <v>-13.983739837398378</v>
      </c>
      <c r="AE74">
        <f>RTD("rtdtrading.rtdserver",, "RAPT4_B_0", "3M")</f>
        <v>-34.529702970297024</v>
      </c>
      <c r="AF74">
        <f>RTD("rtdtrading.rtdserver",, "RAPT4_B_0", "6M")</f>
        <v>-33.361886526252142</v>
      </c>
      <c r="AG74">
        <f>RTD("rtdtrading.rtdserver",, "RAPT4_B_0", "12M")</f>
        <v>-49.547934231106709</v>
      </c>
      <c r="AH74">
        <f>RTD("rtdtrading.rtdserver",, "RAPT4_B_0", "ANO")</f>
        <v>-46.285691076723126</v>
      </c>
      <c r="AI74">
        <f>RTD("rtdtrading.rtdserver",, "RAPT4_B_0", "TRIM")</f>
        <v>-13.983739837398378</v>
      </c>
      <c r="AJ74">
        <f>RTD("rtdtrading.rtdserver",, "RAPT4_B_0", "SEMES")</f>
        <v>-40.628507295173961</v>
      </c>
      <c r="AK74" t="str">
        <f>RTD("rtdtrading.rtdserver",, "RAPT4_B_0", "VEN")</f>
        <v>-</v>
      </c>
      <c r="AL74" t="str">
        <f>RTD("rtdtrading.rtdserver",, "RAPT4_B_0", "VAL")</f>
        <v>31/12/9999</v>
      </c>
      <c r="AM74">
        <f>RTD("rtdtrading.rtdserver",, "RAPT4_B_0", "CAB")</f>
        <v>0</v>
      </c>
      <c r="AN74" t="str">
        <f>RTD("rtdtrading.rtdserver",, "RAPT4_B_0", "EST")</f>
        <v>Pré-Fechamento</v>
      </c>
      <c r="AO74" t="str">
        <f>RTD("rtdtrading.rtdserver",, "RAPT4_B_0", "BLACK")</f>
        <v>-</v>
      </c>
      <c r="AP74" t="str">
        <f>RTD("rtdtrading.rtdserver",, "RAPT4_B_0", "IMPVT")</f>
        <v>-</v>
      </c>
      <c r="AQ74" t="str">
        <f>RTD("rtdtrading.rtdserver",, "RAPT4_B_0", "DELTA")</f>
        <v>-</v>
      </c>
      <c r="AR74" t="str">
        <f>RTD("rtdtrading.rtdserver",, "RAPT4_B_0", "GAMA")</f>
        <v>-</v>
      </c>
      <c r="AS74" t="str">
        <f>RTD("rtdtrading.rtdserver",, "RAPT4_B_0", "THETA")</f>
        <v>-</v>
      </c>
      <c r="AT74" t="str">
        <f>RTD("rtdtrading.rtdserver",, "RAPT4_B_0", "RHO")</f>
        <v>-</v>
      </c>
      <c r="AU74" t="str">
        <f>RTD("rtdtrading.rtdserver",, "RAPT4_B_0", "VEGA")</f>
        <v>-</v>
      </c>
      <c r="AV74" t="str">
        <f>RTD("rtdtrading.rtdserver",, "RAPT4_B_0", "VIA")</f>
        <v>-</v>
      </c>
      <c r="AW74" t="str">
        <f>RTD("rtdtrading.rtdserver",, "RAPT4_B_0", "VIB")</f>
        <v>-</v>
      </c>
      <c r="AX74" t="str">
        <f>RTD("rtdtrading.rtdserver",, "RAPT4_B_0", "DOBRAR")</f>
        <v>-</v>
      </c>
      <c r="AY74" t="str">
        <f>RTD("rtdtrading.rtdserver",, "RAPT4_B_0", "VIVH")</f>
        <v>-</v>
      </c>
      <c r="AZ74" t="str">
        <f>RTD("rtdtrading.rtdserver",, "RAPT4_B_0", "VINT")</f>
        <v>-</v>
      </c>
      <c r="BA74" t="str">
        <f>RTD("rtdtrading.rtdserver",, "RAPT4_B_0", "VEXT")</f>
        <v>-</v>
      </c>
    </row>
    <row r="75" spans="3:53" x14ac:dyDescent="0.25">
      <c r="C75" t="s">
        <v>342</v>
      </c>
      <c r="D75" t="str">
        <f>RTD("rtdtrading.rtdserver",, "RAIZ4_B_0", "DAT")</f>
        <v>14/10/2025</v>
      </c>
      <c r="E75" t="str">
        <f>RTD("rtdtrading.rtdserver",, "RAIZ4_B_0", "HOR")</f>
        <v>17:07:42</v>
      </c>
      <c r="F75">
        <f>RTD("rtdtrading.rtdserver",, "RAIZ4_B_0", "ULT")</f>
        <v>0.88</v>
      </c>
      <c r="G75">
        <f>RTD("rtdtrading.rtdserver",, "RAIZ4_B_0", "ABE")</f>
        <v>0.85</v>
      </c>
      <c r="H75">
        <f>RTD("rtdtrading.rtdserver",, "RAIZ4_B_0", "MAX")</f>
        <v>0.9</v>
      </c>
      <c r="I75">
        <f>RTD("rtdtrading.rtdserver",, "RAIZ4_B_0", "MIN")</f>
        <v>0.84</v>
      </c>
      <c r="J75">
        <f>RTD("rtdtrading.rtdserver",, "RAIZ4_B_0", "FEC")</f>
        <v>0.85000000000000009</v>
      </c>
      <c r="K75">
        <f>RTD("rtdtrading.rtdserver",, "RAIZ4_B_0", "PEX")</f>
        <v>0</v>
      </c>
      <c r="L75">
        <f>RTD("rtdtrading.rtdserver",, "RAIZ4_B_0", "VAR")</f>
        <v>3.529411764705872</v>
      </c>
      <c r="M75">
        <f>RTD("rtdtrading.rtdserver",, "RAIZ4_B_0", "VARPTS")</f>
        <v>2.9999999999999916E-2</v>
      </c>
      <c r="N75">
        <f>RTD("rtdtrading.rtdserver",, "RAIZ4_B_0", "MED")</f>
        <v>0.87558850889947015</v>
      </c>
      <c r="O75" t="s">
        <v>376</v>
      </c>
      <c r="P75">
        <f>RTD("rtdtrading.rtdserver",, "RAIZ4_B_0", "NEG")</f>
        <v>5936</v>
      </c>
      <c r="Q75">
        <f>RTD("rtdtrading.rtdserver",, "RAIZ4_B_0", "QUL")</f>
        <v>0</v>
      </c>
      <c r="R75">
        <f>RTD("rtdtrading.rtdserver",, "RAIZ4_B_0", "QTT")</f>
        <v>14512100</v>
      </c>
      <c r="S75">
        <f>RTD("rtdtrading.rtdserver",, "RAIZ4_B_0", "VOL")</f>
        <v>12706628</v>
      </c>
      <c r="T75">
        <f>RTD("rtdtrading.rtdserver",, "RAIZ4_B_0", "OCP")</f>
        <v>0.87</v>
      </c>
      <c r="U75">
        <f>RTD("rtdtrading.rtdserver",, "RAIZ4_B_0", "OVD")</f>
        <v>0.88</v>
      </c>
      <c r="V75">
        <f>RTD("rtdtrading.rtdserver",, "RAIZ4_B_0", "VOC")</f>
        <v>82200</v>
      </c>
      <c r="W75">
        <f>RTD("rtdtrading.rtdserver",, "RAIZ4_B_0", "VOV")</f>
        <v>7700</v>
      </c>
      <c r="X75">
        <f>RTD("rtdtrading.rtdserver",, "RAIZ4_B_0", "AJU")</f>
        <v>0</v>
      </c>
      <c r="Y75">
        <f>RTD("rtdtrading.rtdserver",, "RAIZ4_B_0", "AJA")</f>
        <v>0</v>
      </c>
      <c r="Z75">
        <f>RTD("rtdtrading.rtdserver",, "RAIZ4_B_0", "PRT")</f>
        <v>0</v>
      </c>
      <c r="AA75">
        <f>RTD("rtdtrading.rtdserver",, "RAIZ4_B_0", "QTE")</f>
        <v>0</v>
      </c>
      <c r="AB75">
        <f>RTD("rtdtrading.rtdserver",, "RAIZ4_B_0", "VPJ")</f>
        <v>12706628</v>
      </c>
      <c r="AC75">
        <f>RTD("rtdtrading.rtdserver",, "RAIZ4_B_0", "SEM")</f>
        <v>1.1494252873563229</v>
      </c>
      <c r="AD75">
        <f>RTD("rtdtrading.rtdserver",, "RAIZ4_B_0", "MES")</f>
        <v>-13.725490196078432</v>
      </c>
      <c r="AE75">
        <f>RTD("rtdtrading.rtdserver",, "RAIZ4_B_0", "3M")</f>
        <v>-42.483660130718953</v>
      </c>
      <c r="AF75">
        <f>RTD("rtdtrading.rtdserver",, "RAIZ4_B_0", "6M")</f>
        <v>-50</v>
      </c>
      <c r="AG75">
        <f>RTD("rtdtrading.rtdserver",, "RAIZ4_B_0", "12M")</f>
        <v>-70.169491525423737</v>
      </c>
      <c r="AH75">
        <f>RTD("rtdtrading.rtdserver",, "RAIZ4_B_0", "ANO")</f>
        <v>-59.259259259259267</v>
      </c>
      <c r="AI75">
        <f>RTD("rtdtrading.rtdserver",, "RAIZ4_B_0", "TRIM")</f>
        <v>-13.725490196078432</v>
      </c>
      <c r="AJ75">
        <f>RTD("rtdtrading.rtdserver",, "RAIZ4_B_0", "SEMES")</f>
        <v>-46.666666666666671</v>
      </c>
      <c r="AK75" t="str">
        <f>RTD("rtdtrading.rtdserver",, "RAIZ4_B_0", "VEN")</f>
        <v>-</v>
      </c>
      <c r="AL75" t="str">
        <f>RTD("rtdtrading.rtdserver",, "RAIZ4_B_0", "VAL")</f>
        <v>31/12/9999</v>
      </c>
      <c r="AM75">
        <f>RTD("rtdtrading.rtdserver",, "RAIZ4_B_0", "CAB")</f>
        <v>0</v>
      </c>
      <c r="AN75" t="str">
        <f>RTD("rtdtrading.rtdserver",, "RAIZ4_B_0", "EST")</f>
        <v>Pré-Fechamento</v>
      </c>
      <c r="AO75" t="str">
        <f>RTD("rtdtrading.rtdserver",, "RAIZ4_B_0", "BLACK")</f>
        <v>-</v>
      </c>
      <c r="AP75" t="str">
        <f>RTD("rtdtrading.rtdserver",, "RAIZ4_B_0", "IMPVT")</f>
        <v>-</v>
      </c>
      <c r="AQ75" t="str">
        <f>RTD("rtdtrading.rtdserver",, "RAIZ4_B_0", "DELTA")</f>
        <v>-</v>
      </c>
      <c r="AR75" t="str">
        <f>RTD("rtdtrading.rtdserver",, "RAIZ4_B_0", "GAMA")</f>
        <v>-</v>
      </c>
      <c r="AS75" t="str">
        <f>RTD("rtdtrading.rtdserver",, "RAIZ4_B_0", "THETA")</f>
        <v>-</v>
      </c>
      <c r="AT75" t="str">
        <f>RTD("rtdtrading.rtdserver",, "RAIZ4_B_0", "RHO")</f>
        <v>-</v>
      </c>
      <c r="AU75" t="str">
        <f>RTD("rtdtrading.rtdserver",, "RAIZ4_B_0", "VEGA")</f>
        <v>-</v>
      </c>
      <c r="AV75" t="str">
        <f>RTD("rtdtrading.rtdserver",, "RAIZ4_B_0", "VIA")</f>
        <v>-</v>
      </c>
      <c r="AW75" t="str">
        <f>RTD("rtdtrading.rtdserver",, "RAIZ4_B_0", "VIB")</f>
        <v>-</v>
      </c>
      <c r="AX75" t="str">
        <f>RTD("rtdtrading.rtdserver",, "RAIZ4_B_0", "DOBRAR")</f>
        <v>-</v>
      </c>
      <c r="AY75" t="str">
        <f>RTD("rtdtrading.rtdserver",, "RAIZ4_B_0", "VIVH")</f>
        <v>-</v>
      </c>
      <c r="AZ75" t="str">
        <f>RTD("rtdtrading.rtdserver",, "RAIZ4_B_0", "VINT")</f>
        <v>-</v>
      </c>
      <c r="BA75" t="str">
        <f>RTD("rtdtrading.rtdserver",, "RAIZ4_B_0", "VEXT")</f>
        <v>-</v>
      </c>
    </row>
    <row r="76" spans="3:53" x14ac:dyDescent="0.25">
      <c r="C76" t="s">
        <v>379</v>
      </c>
      <c r="D76" t="str">
        <f>RTD("rtdtrading.rtdserver",, "MDIA3_B_0", "DAT")</f>
        <v>14/10/2025</v>
      </c>
      <c r="E76" t="str">
        <f>RTD("rtdtrading.rtdserver",, "MDIA3_B_0", "HOR")</f>
        <v>17:53:28</v>
      </c>
      <c r="F76">
        <f>RTD("rtdtrading.rtdserver",, "MDIA3_B_0", "ULT")</f>
        <v>28.150000000000002</v>
      </c>
      <c r="G76">
        <f>RTD("rtdtrading.rtdserver",, "MDIA3_B_0", "ABE")</f>
        <v>26.66</v>
      </c>
      <c r="H76">
        <f>RTD("rtdtrading.rtdserver",, "MDIA3_B_0", "MAX")</f>
        <v>28.38</v>
      </c>
      <c r="I76">
        <f>RTD("rtdtrading.rtdserver",, "MDIA3_B_0", "MIN")</f>
        <v>26.66</v>
      </c>
      <c r="J76">
        <f>RTD("rtdtrading.rtdserver",, "MDIA3_B_0", "FEC")</f>
        <v>26.96</v>
      </c>
      <c r="K76">
        <f>RTD("rtdtrading.rtdserver",, "MDIA3_B_0", "PEX")</f>
        <v>0</v>
      </c>
      <c r="L76">
        <f>RTD("rtdtrading.rtdserver",, "MDIA3_B_0", "VAR")</f>
        <v>4.4139465875370965</v>
      </c>
      <c r="M76">
        <f>RTD("rtdtrading.rtdserver",, "MDIA3_B_0", "VARPTS")</f>
        <v>1.1900000000000013</v>
      </c>
      <c r="N76">
        <f>RTD("rtdtrading.rtdserver",, "MDIA3_B_0", "MED")</f>
        <v>28.053711492890994</v>
      </c>
      <c r="O76" t="s">
        <v>380</v>
      </c>
      <c r="P76">
        <f>RTD("rtdtrading.rtdserver",, "MDIA3_B_0", "NEG")</f>
        <v>5626</v>
      </c>
      <c r="Q76">
        <f>RTD("rtdtrading.rtdserver",, "MDIA3_B_0", "QUL")</f>
        <v>0</v>
      </c>
      <c r="R76">
        <f>RTD("rtdtrading.rtdserver",, "MDIA3_B_0", "QTT")</f>
        <v>1350400</v>
      </c>
      <c r="S76">
        <f>RTD("rtdtrading.rtdserver",, "MDIA3_B_0", "VOL")</f>
        <v>37883732</v>
      </c>
      <c r="T76">
        <f>RTD("rtdtrading.rtdserver",, "MDIA3_B_0", "OCP")</f>
        <v>27.78</v>
      </c>
      <c r="U76">
        <f>RTD("rtdtrading.rtdserver",, "MDIA3_B_0", "OVD")</f>
        <v>28.36</v>
      </c>
      <c r="V76">
        <f>RTD("rtdtrading.rtdserver",, "MDIA3_B_0", "VOC")</f>
        <v>100</v>
      </c>
      <c r="W76">
        <f>RTD("rtdtrading.rtdserver",, "MDIA3_B_0", "VOV")</f>
        <v>200</v>
      </c>
      <c r="X76">
        <f>RTD("rtdtrading.rtdserver",, "MDIA3_B_0", "AJU")</f>
        <v>0</v>
      </c>
      <c r="Y76">
        <f>RTD("rtdtrading.rtdserver",, "MDIA3_B_0", "AJA")</f>
        <v>0</v>
      </c>
      <c r="Z76">
        <f>RTD("rtdtrading.rtdserver",, "MDIA3_B_0", "PRT")</f>
        <v>0</v>
      </c>
      <c r="AA76">
        <f>RTD("rtdtrading.rtdserver",, "MDIA3_B_0", "QTE")</f>
        <v>0</v>
      </c>
      <c r="AB76">
        <f>RTD("rtdtrading.rtdserver",, "MDIA3_B_0", "VPJ")</f>
        <v>37883732</v>
      </c>
      <c r="AC76">
        <f>RTD("rtdtrading.rtdserver",, "MDIA3_B_0", "SEM")</f>
        <v>6.750094804702317</v>
      </c>
      <c r="AD76">
        <f>RTD("rtdtrading.rtdserver",, "MDIA3_B_0", "MES")</f>
        <v>-2.0528879610299229</v>
      </c>
      <c r="AE76">
        <f>RTD("rtdtrading.rtdserver",, "MDIA3_B_0", "3M")</f>
        <v>10.032286560816782</v>
      </c>
      <c r="AF76">
        <f>RTD("rtdtrading.rtdserver",, "MDIA3_B_0", "6M")</f>
        <v>19.087909298587022</v>
      </c>
      <c r="AG76">
        <f>RTD("rtdtrading.rtdserver",, "MDIA3_B_0", "12M")</f>
        <v>14.438802681486118</v>
      </c>
      <c r="AH76">
        <f>RTD("rtdtrading.rtdserver",, "MDIA3_B_0", "ANO")</f>
        <v>43.977250060097084</v>
      </c>
      <c r="AI76">
        <f>RTD("rtdtrading.rtdserver",, "MDIA3_B_0", "TRIM")</f>
        <v>-2.0528879610299229</v>
      </c>
      <c r="AJ76">
        <f>RTD("rtdtrading.rtdserver",, "MDIA3_B_0", "SEMES")</f>
        <v>18.101647129899234</v>
      </c>
      <c r="AK76" t="str">
        <f>RTD("rtdtrading.rtdserver",, "MDIA3_B_0", "VEN")</f>
        <v>-</v>
      </c>
      <c r="AL76" t="str">
        <f>RTD("rtdtrading.rtdserver",, "MDIA3_B_0", "VAL")</f>
        <v>31/12/9999</v>
      </c>
      <c r="AM76">
        <f>RTD("rtdtrading.rtdserver",, "MDIA3_B_0", "CAB")</f>
        <v>0</v>
      </c>
      <c r="AN76" t="str">
        <f>RTD("rtdtrading.rtdserver",, "MDIA3_B_0", "EST")</f>
        <v>Pré-Fechamento</v>
      </c>
      <c r="AO76" t="str">
        <f>RTD("rtdtrading.rtdserver",, "MDIA3_B_0", "BLACK")</f>
        <v>-</v>
      </c>
      <c r="AP76" t="str">
        <f>RTD("rtdtrading.rtdserver",, "MDIA3_B_0", "IMPVT")</f>
        <v>-</v>
      </c>
      <c r="AQ76" t="str">
        <f>RTD("rtdtrading.rtdserver",, "MDIA3_B_0", "DELTA")</f>
        <v>-</v>
      </c>
      <c r="AR76" t="str">
        <f>RTD("rtdtrading.rtdserver",, "MDIA3_B_0", "GAMA")</f>
        <v>-</v>
      </c>
      <c r="AS76" t="str">
        <f>RTD("rtdtrading.rtdserver",, "MDIA3_B_0", "THETA")</f>
        <v>-</v>
      </c>
      <c r="AT76" t="str">
        <f>RTD("rtdtrading.rtdserver",, "MDIA3_B_0", "RHO")</f>
        <v>-</v>
      </c>
      <c r="AU76" t="str">
        <f>RTD("rtdtrading.rtdserver",, "MDIA3_B_0", "VEGA")</f>
        <v>-</v>
      </c>
      <c r="AV76" t="str">
        <f>RTD("rtdtrading.rtdserver",, "MDIA3_B_0", "VIA")</f>
        <v>-</v>
      </c>
      <c r="AW76" t="str">
        <f>RTD("rtdtrading.rtdserver",, "MDIA3_B_0", "VIB")</f>
        <v>-</v>
      </c>
      <c r="AX76" t="str">
        <f>RTD("rtdtrading.rtdserver",, "MDIA3_B_0", "DOBRAR")</f>
        <v>-</v>
      </c>
      <c r="AY76" t="str">
        <f>RTD("rtdtrading.rtdserver",, "MDIA3_B_0", "VIVH")</f>
        <v>-</v>
      </c>
      <c r="AZ76" t="str">
        <f>RTD("rtdtrading.rtdserver",, "MDIA3_B_0", "VINT")</f>
        <v>-</v>
      </c>
      <c r="BA76" t="str">
        <f>RTD("rtdtrading.rtdserver",, "MDIA3_B_0", "VEXT")</f>
        <v>-</v>
      </c>
    </row>
    <row r="77" spans="3:53" x14ac:dyDescent="0.25">
      <c r="C77" t="s">
        <v>367</v>
      </c>
      <c r="D77" t="str">
        <f>RTD("rtdtrading.rtdserver",, "SLCE3_B_0", "DAT")</f>
        <v>14/10/2025</v>
      </c>
      <c r="E77" t="str">
        <f>RTD("rtdtrading.rtdserver",, "SLCE3_B_0", "HOR")</f>
        <v>17:07:40</v>
      </c>
      <c r="F77">
        <f>RTD("rtdtrading.rtdserver",, "SLCE3_B_0", "ULT")</f>
        <v>15.690000000000001</v>
      </c>
      <c r="G77">
        <f>RTD("rtdtrading.rtdserver",, "SLCE3_B_0", "ABE")</f>
        <v>15.65</v>
      </c>
      <c r="H77">
        <f>RTD("rtdtrading.rtdserver",, "SLCE3_B_0", "MAX")</f>
        <v>15.76</v>
      </c>
      <c r="I77">
        <f>RTD("rtdtrading.rtdserver",, "SLCE3_B_0", "MIN")</f>
        <v>15.61</v>
      </c>
      <c r="J77">
        <f>RTD("rtdtrading.rtdserver",, "SLCE3_B_0", "FEC")</f>
        <v>15.65</v>
      </c>
      <c r="K77">
        <f>RTD("rtdtrading.rtdserver",, "SLCE3_B_0", "PEX")</f>
        <v>0</v>
      </c>
      <c r="L77">
        <f>RTD("rtdtrading.rtdserver",, "SLCE3_B_0", "VAR")</f>
        <v>0.25559105431310497</v>
      </c>
      <c r="M77">
        <f>RTD("rtdtrading.rtdserver",, "SLCE3_B_0", "VARPTS")</f>
        <v>4.0000000000000924E-2</v>
      </c>
      <c r="N77">
        <f>RTD("rtdtrading.rtdserver",, "SLCE3_B_0", "MED")</f>
        <v>15.669188390217684</v>
      </c>
      <c r="O77" t="s">
        <v>383</v>
      </c>
      <c r="P77">
        <f>RTD("rtdtrading.rtdserver",, "SLCE3_B_0", "NEG")</f>
        <v>4439</v>
      </c>
      <c r="Q77">
        <f>RTD("rtdtrading.rtdserver",, "SLCE3_B_0", "QUL")</f>
        <v>0</v>
      </c>
      <c r="R77">
        <f>RTD("rtdtrading.rtdserver",, "SLCE3_B_0", "QTT")</f>
        <v>1116300</v>
      </c>
      <c r="S77">
        <f>RTD("rtdtrading.rtdserver",, "SLCE3_B_0", "VOL")</f>
        <v>17491515</v>
      </c>
      <c r="T77">
        <f>RTD("rtdtrading.rtdserver",, "SLCE3_B_0", "OCP")</f>
        <v>15.620000000000001</v>
      </c>
      <c r="U77">
        <f>RTD("rtdtrading.rtdserver",, "SLCE3_B_0", "OVD")</f>
        <v>15.77</v>
      </c>
      <c r="V77">
        <f>RTD("rtdtrading.rtdserver",, "SLCE3_B_0", "VOC")</f>
        <v>500</v>
      </c>
      <c r="W77">
        <f>RTD("rtdtrading.rtdserver",, "SLCE3_B_0", "VOV")</f>
        <v>600</v>
      </c>
      <c r="X77">
        <f>RTD("rtdtrading.rtdserver",, "SLCE3_B_0", "AJU")</f>
        <v>0</v>
      </c>
      <c r="Y77">
        <f>RTD("rtdtrading.rtdserver",, "SLCE3_B_0", "AJA")</f>
        <v>0</v>
      </c>
      <c r="Z77">
        <f>RTD("rtdtrading.rtdserver",, "SLCE3_B_0", "PRT")</f>
        <v>0</v>
      </c>
      <c r="AA77">
        <f>RTD("rtdtrading.rtdserver",, "SLCE3_B_0", "QTE")</f>
        <v>0</v>
      </c>
      <c r="AB77">
        <f>RTD("rtdtrading.rtdserver",, "SLCE3_B_0", "VPJ")</f>
        <v>17491515</v>
      </c>
      <c r="AC77">
        <f>RTD("rtdtrading.rtdserver",, "SLCE3_B_0", "SEM")</f>
        <v>-0.696202531645566</v>
      </c>
      <c r="AD77">
        <f>RTD("rtdtrading.rtdserver",, "SLCE3_B_0", "MES")</f>
        <v>-4.3875685557586763</v>
      </c>
      <c r="AE77">
        <f>RTD("rtdtrading.rtdserver",, "SLCE3_B_0", "3M")</f>
        <v>-13.506063947078276</v>
      </c>
      <c r="AF77">
        <f>RTD("rtdtrading.rtdserver",, "SLCE3_B_0", "6M")</f>
        <v>-19.793477149575704</v>
      </c>
      <c r="AG77">
        <f>RTD("rtdtrading.rtdserver",, "SLCE3_B_0", "12M")</f>
        <v>-5.6286013304622955</v>
      </c>
      <c r="AH77">
        <f>RTD("rtdtrading.rtdserver",, "SLCE3_B_0", "ANO")</f>
        <v>-7.7856206691860566</v>
      </c>
      <c r="AI77">
        <f>RTD("rtdtrading.rtdserver",, "SLCE3_B_0", "TRIM")</f>
        <v>-4.3875685557586763</v>
      </c>
      <c r="AJ77">
        <f>RTD("rtdtrading.rtdserver",, "SLCE3_B_0", "SEMES")</f>
        <v>-12.199216564073865</v>
      </c>
      <c r="AK77" t="str">
        <f>RTD("rtdtrading.rtdserver",, "SLCE3_B_0", "VEN")</f>
        <v>-</v>
      </c>
      <c r="AL77" t="str">
        <f>RTD("rtdtrading.rtdserver",, "SLCE3_B_0", "VAL")</f>
        <v>31/12/9999</v>
      </c>
      <c r="AM77">
        <f>RTD("rtdtrading.rtdserver",, "SLCE3_B_0", "CAB")</f>
        <v>0</v>
      </c>
      <c r="AN77" t="str">
        <f>RTD("rtdtrading.rtdserver",, "SLCE3_B_0", "EST")</f>
        <v>Pré-Fechamento</v>
      </c>
      <c r="AO77" t="str">
        <f>RTD("rtdtrading.rtdserver",, "SLCE3_B_0", "BLACK")</f>
        <v>-</v>
      </c>
      <c r="AP77" t="str">
        <f>RTD("rtdtrading.rtdserver",, "SLCE3_B_0", "IMPVT")</f>
        <v>-</v>
      </c>
      <c r="AQ77" t="str">
        <f>RTD("rtdtrading.rtdserver",, "SLCE3_B_0", "DELTA")</f>
        <v>-</v>
      </c>
      <c r="AR77" t="str">
        <f>RTD("rtdtrading.rtdserver",, "SLCE3_B_0", "GAMA")</f>
        <v>-</v>
      </c>
      <c r="AS77" t="str">
        <f>RTD("rtdtrading.rtdserver",, "SLCE3_B_0", "THETA")</f>
        <v>-</v>
      </c>
      <c r="AT77" t="str">
        <f>RTD("rtdtrading.rtdserver",, "SLCE3_B_0", "RHO")</f>
        <v>-</v>
      </c>
      <c r="AU77" t="str">
        <f>RTD("rtdtrading.rtdserver",, "SLCE3_B_0", "VEGA")</f>
        <v>-</v>
      </c>
      <c r="AV77" t="str">
        <f>RTD("rtdtrading.rtdserver",, "SLCE3_B_0", "VIA")</f>
        <v>-</v>
      </c>
      <c r="AW77" t="str">
        <f>RTD("rtdtrading.rtdserver",, "SLCE3_B_0", "VIB")</f>
        <v>-</v>
      </c>
      <c r="AX77" t="str">
        <f>RTD("rtdtrading.rtdserver",, "SLCE3_B_0", "DOBRAR")</f>
        <v>-</v>
      </c>
      <c r="AY77" t="str">
        <f>RTD("rtdtrading.rtdserver",, "SLCE3_B_0", "VIVH")</f>
        <v>-</v>
      </c>
      <c r="AZ77" t="str">
        <f>RTD("rtdtrading.rtdserver",, "SLCE3_B_0", "VINT")</f>
        <v>-</v>
      </c>
      <c r="BA77" t="str">
        <f>RTD("rtdtrading.rtdserver",, "SLCE3_B_0", "VEXT")</f>
        <v>-</v>
      </c>
    </row>
    <row r="78" spans="3:53" x14ac:dyDescent="0.25">
      <c r="C78" t="s">
        <v>386</v>
      </c>
      <c r="D78" t="str">
        <f>RTD("rtdtrading.rtdserver",, "ARML3_B_0", "DAT")</f>
        <v>14/10/2025</v>
      </c>
      <c r="E78" t="str">
        <f>RTD("rtdtrading.rtdserver",, "ARML3_B_0", "HOR")</f>
        <v>17:59:07</v>
      </c>
      <c r="F78">
        <f>RTD("rtdtrading.rtdserver",, "ARML3_B_0", "ULT")</f>
        <v>2.9767000000000001</v>
      </c>
      <c r="G78">
        <f>RTD("rtdtrading.rtdserver",, "ARML3_B_0", "ABE")</f>
        <v>3.07</v>
      </c>
      <c r="H78">
        <f>RTD("rtdtrading.rtdserver",, "ARML3_B_0", "MAX")</f>
        <v>3.13</v>
      </c>
      <c r="I78">
        <f>RTD("rtdtrading.rtdserver",, "ARML3_B_0", "MIN")</f>
        <v>3.01</v>
      </c>
      <c r="J78">
        <f>RTD("rtdtrading.rtdserver",, "ARML3_B_0", "FEC")</f>
        <v>3.0258000000000003</v>
      </c>
      <c r="K78">
        <f>RTD("rtdtrading.rtdserver",, "ARML3_B_0", "PEX")</f>
        <v>0</v>
      </c>
      <c r="L78">
        <f>RTD("rtdtrading.rtdserver",, "ARML3_B_0", "VAR")</f>
        <v>-1.6227113490647149</v>
      </c>
      <c r="M78">
        <f>RTD("rtdtrading.rtdserver",, "ARML3_B_0", "VARPTS")</f>
        <v>-4.9100000000000144E-2</v>
      </c>
      <c r="N78">
        <f>RTD("rtdtrading.rtdserver",, "ARML3_B_0", "MED")</f>
        <v>3.0740149039090077</v>
      </c>
      <c r="O78" t="s">
        <v>387</v>
      </c>
      <c r="P78">
        <f>RTD("rtdtrading.rtdserver",, "ARML3_B_0", "NEG")</f>
        <v>2116</v>
      </c>
      <c r="Q78">
        <f>RTD("rtdtrading.rtdserver",, "ARML3_B_0", "QUL")</f>
        <v>0</v>
      </c>
      <c r="R78">
        <f>RTD("rtdtrading.rtdserver",, "ARML3_B_0", "QTT")</f>
        <v>764900</v>
      </c>
      <c r="S78">
        <f>RTD("rtdtrading.rtdserver",, "ARML3_B_0", "VOL")</f>
        <v>2351314</v>
      </c>
      <c r="T78">
        <f>RTD("rtdtrading.rtdserver",, "ARML3_B_0", "OCP")</f>
        <v>0</v>
      </c>
      <c r="U78">
        <f>RTD("rtdtrading.rtdserver",, "ARML3_B_0", "OVD")</f>
        <v>0</v>
      </c>
      <c r="V78">
        <f>RTD("rtdtrading.rtdserver",, "ARML3_B_0", "VOC")</f>
        <v>0</v>
      </c>
      <c r="W78">
        <f>RTD("rtdtrading.rtdserver",, "ARML3_B_0", "VOV")</f>
        <v>0</v>
      </c>
      <c r="X78">
        <f>RTD("rtdtrading.rtdserver",, "ARML3_B_0", "AJU")</f>
        <v>0</v>
      </c>
      <c r="Y78">
        <f>RTD("rtdtrading.rtdserver",, "ARML3_B_0", "AJA")</f>
        <v>0</v>
      </c>
      <c r="Z78">
        <f>RTD("rtdtrading.rtdserver",, "ARML3_B_0", "PRT")</f>
        <v>0</v>
      </c>
      <c r="AA78">
        <f>RTD("rtdtrading.rtdserver",, "ARML3_B_0", "QTE")</f>
        <v>0</v>
      </c>
      <c r="AB78">
        <f>RTD("rtdtrading.rtdserver",, "ARML3_B_0", "VPJ")</f>
        <v>2351314</v>
      </c>
      <c r="AC78">
        <f>RTD("rtdtrading.rtdserver",, "ARML3_B_0", "SEM")</f>
        <v>-0.65414010613089679</v>
      </c>
      <c r="AD78">
        <f>RTD("rtdtrading.rtdserver",, "ARML3_B_0", "MES")</f>
        <v>-18.327983098746127</v>
      </c>
      <c r="AE78">
        <f>RTD("rtdtrading.rtdserver",, "ARML3_B_0", "3M")</f>
        <v>-24.760508555974013</v>
      </c>
      <c r="AF78">
        <f>RTD("rtdtrading.rtdserver",, "ARML3_B_0", "6M")</f>
        <v>-27.282276780261398</v>
      </c>
      <c r="AG78">
        <f>RTD("rtdtrading.rtdserver",, "ARML3_B_0", "12M")</f>
        <v>-60.963359299184305</v>
      </c>
      <c r="AH78">
        <f>RTD("rtdtrading.rtdserver",, "ARML3_B_0", "ANO")</f>
        <v>-37.836483241098463</v>
      </c>
      <c r="AI78">
        <f>RTD("rtdtrading.rtdserver",, "ARML3_B_0", "TRIM")</f>
        <v>-18.327983098746127</v>
      </c>
      <c r="AJ78">
        <f>RTD("rtdtrading.rtdserver",, "ARML3_B_0", "SEMES")</f>
        <v>-9.2690807120214593</v>
      </c>
      <c r="AK78" t="str">
        <f>RTD("rtdtrading.rtdserver",, "ARML3_B_0", "VEN")</f>
        <v>-</v>
      </c>
      <c r="AL78" t="str">
        <f>RTD("rtdtrading.rtdserver",, "ARML3_B_0", "VAL")</f>
        <v>31/12/9999</v>
      </c>
      <c r="AM78">
        <f>RTD("rtdtrading.rtdserver",, "ARML3_B_0", "CAB")</f>
        <v>0</v>
      </c>
      <c r="AN78" t="str">
        <f>RTD("rtdtrading.rtdserver",, "ARML3_B_0", "EST")</f>
        <v>Pré-Fechamento</v>
      </c>
      <c r="AO78" t="str">
        <f>RTD("rtdtrading.rtdserver",, "ARML3_B_0", "BLACK")</f>
        <v>-</v>
      </c>
      <c r="AP78" t="str">
        <f>RTD("rtdtrading.rtdserver",, "ARML3_B_0", "IMPVT")</f>
        <v>-</v>
      </c>
      <c r="AQ78" t="str">
        <f>RTD("rtdtrading.rtdserver",, "ARML3_B_0", "DELTA")</f>
        <v>-</v>
      </c>
      <c r="AR78" t="str">
        <f>RTD("rtdtrading.rtdserver",, "ARML3_B_0", "GAMA")</f>
        <v>-</v>
      </c>
      <c r="AS78" t="str">
        <f>RTD("rtdtrading.rtdserver",, "ARML3_B_0", "THETA")</f>
        <v>-</v>
      </c>
      <c r="AT78" t="str">
        <f>RTD("rtdtrading.rtdserver",, "ARML3_B_0", "RHO")</f>
        <v>-</v>
      </c>
      <c r="AU78" t="str">
        <f>RTD("rtdtrading.rtdserver",, "ARML3_B_0", "VEGA")</f>
        <v>-</v>
      </c>
      <c r="AV78" t="str">
        <f>RTD("rtdtrading.rtdserver",, "ARML3_B_0", "VIA")</f>
        <v>-</v>
      </c>
      <c r="AW78" t="str">
        <f>RTD("rtdtrading.rtdserver",, "ARML3_B_0", "VIB")</f>
        <v>-</v>
      </c>
      <c r="AX78" t="str">
        <f>RTD("rtdtrading.rtdserver",, "ARML3_B_0", "DOBRAR")</f>
        <v>-</v>
      </c>
      <c r="AY78" t="str">
        <f>RTD("rtdtrading.rtdserver",, "ARML3_B_0", "VIVH")</f>
        <v>-</v>
      </c>
      <c r="AZ78" t="str">
        <f>RTD("rtdtrading.rtdserver",, "ARML3_B_0", "VINT")</f>
        <v>-</v>
      </c>
      <c r="BA78" t="str">
        <f>RTD("rtdtrading.rtdserver",, "ARML3_B_0", "VEXT")</f>
        <v>-</v>
      </c>
    </row>
    <row r="79" spans="3:53" x14ac:dyDescent="0.25">
      <c r="C79" t="s">
        <v>390</v>
      </c>
      <c r="D79" t="str">
        <f>RTD("rtdtrading.rtdserver",, "TUPY3_B_0", "DAT")</f>
        <v>14/10/2025</v>
      </c>
      <c r="E79" t="str">
        <f>RTD("rtdtrading.rtdserver",, "TUPY3_B_0", "HOR")</f>
        <v>17:07:37</v>
      </c>
      <c r="F79">
        <f>RTD("rtdtrading.rtdserver",, "TUPY3_B_0", "ULT")</f>
        <v>12.360000000000001</v>
      </c>
      <c r="G79">
        <f>RTD("rtdtrading.rtdserver",, "TUPY3_B_0", "ABE")</f>
        <v>12.54</v>
      </c>
      <c r="H79">
        <f>RTD("rtdtrading.rtdserver",, "TUPY3_B_0", "MAX")</f>
        <v>12.54</v>
      </c>
      <c r="I79">
        <f>RTD("rtdtrading.rtdserver",, "TUPY3_B_0", "MIN")</f>
        <v>12.23</v>
      </c>
      <c r="J79">
        <f>RTD("rtdtrading.rtdserver",, "TUPY3_B_0", "FEC")</f>
        <v>12.47</v>
      </c>
      <c r="K79">
        <f>RTD("rtdtrading.rtdserver",, "TUPY3_B_0", "PEX")</f>
        <v>0</v>
      </c>
      <c r="L79">
        <f>RTD("rtdtrading.rtdserver",, "TUPY3_B_0", "VAR")</f>
        <v>-0.88211708099438202</v>
      </c>
      <c r="M79">
        <f>RTD("rtdtrading.rtdserver",, "TUPY3_B_0", "VARPTS")</f>
        <v>-0.10999999999999943</v>
      </c>
      <c r="N79">
        <f>RTD("rtdtrading.rtdserver",, "TUPY3_B_0", "MED")</f>
        <v>12.349830188679245</v>
      </c>
      <c r="O79" t="s">
        <v>391</v>
      </c>
      <c r="P79">
        <f>RTD("rtdtrading.rtdserver",, "TUPY3_B_0", "NEG")</f>
        <v>1818</v>
      </c>
      <c r="Q79">
        <f>RTD("rtdtrading.rtdserver",, "TUPY3_B_0", "QUL")</f>
        <v>0</v>
      </c>
      <c r="R79">
        <f>RTD("rtdtrading.rtdserver",, "TUPY3_B_0", "QTT")</f>
        <v>424000</v>
      </c>
      <c r="S79">
        <f>RTD("rtdtrading.rtdserver",, "TUPY3_B_0", "VOL")</f>
        <v>5236328</v>
      </c>
      <c r="T79">
        <f>RTD("rtdtrading.rtdserver",, "TUPY3_B_0", "OCP")</f>
        <v>12.22</v>
      </c>
      <c r="U79">
        <f>RTD("rtdtrading.rtdserver",, "TUPY3_B_0", "OVD")</f>
        <v>12.64</v>
      </c>
      <c r="V79">
        <f>RTD("rtdtrading.rtdserver",, "TUPY3_B_0", "VOC")</f>
        <v>400</v>
      </c>
      <c r="W79">
        <f>RTD("rtdtrading.rtdserver",, "TUPY3_B_0", "VOV")</f>
        <v>500</v>
      </c>
      <c r="X79">
        <f>RTD("rtdtrading.rtdserver",, "TUPY3_B_0", "AJU")</f>
        <v>0</v>
      </c>
      <c r="Y79">
        <f>RTD("rtdtrading.rtdserver",, "TUPY3_B_0", "AJA")</f>
        <v>0</v>
      </c>
      <c r="Z79">
        <f>RTD("rtdtrading.rtdserver",, "TUPY3_B_0", "PRT")</f>
        <v>0</v>
      </c>
      <c r="AA79">
        <f>RTD("rtdtrading.rtdserver",, "TUPY3_B_0", "QTE")</f>
        <v>0</v>
      </c>
      <c r="AB79">
        <f>RTD("rtdtrading.rtdserver",, "TUPY3_B_0", "VPJ")</f>
        <v>5236328</v>
      </c>
      <c r="AC79">
        <f>RTD("rtdtrading.rtdserver",, "TUPY3_B_0", "SEM")</f>
        <v>-1.6706443914081073</v>
      </c>
      <c r="AD79">
        <f>RTD("rtdtrading.rtdserver",, "TUPY3_B_0", "MES")</f>
        <v>-5.2873563218390762</v>
      </c>
      <c r="AE79">
        <f>RTD("rtdtrading.rtdserver",, "TUPY3_B_0", "3M")</f>
        <v>-29.087779690189318</v>
      </c>
      <c r="AF79">
        <f>RTD("rtdtrading.rtdserver",, "TUPY3_B_0", "6M")</f>
        <v>-34.74128827877508</v>
      </c>
      <c r="AG79">
        <f>RTD("rtdtrading.rtdserver",, "TUPY3_B_0", "12M")</f>
        <v>-46.486093311627585</v>
      </c>
      <c r="AH79">
        <f>RTD("rtdtrading.rtdserver",, "TUPY3_B_0", "ANO")</f>
        <v>-45.59044927497952</v>
      </c>
      <c r="AI79">
        <f>RTD("rtdtrading.rtdserver",, "TUPY3_B_0", "TRIM")</f>
        <v>-5.2873563218390762</v>
      </c>
      <c r="AJ79">
        <f>RTD("rtdtrading.rtdserver",, "TUPY3_B_0", "SEMES")</f>
        <v>-32.16245883644347</v>
      </c>
      <c r="AK79" t="str">
        <f>RTD("rtdtrading.rtdserver",, "TUPY3_B_0", "VEN")</f>
        <v>-</v>
      </c>
      <c r="AL79" t="str">
        <f>RTD("rtdtrading.rtdserver",, "TUPY3_B_0", "VAL")</f>
        <v>31/12/9999</v>
      </c>
      <c r="AM79">
        <f>RTD("rtdtrading.rtdserver",, "TUPY3_B_0", "CAB")</f>
        <v>0</v>
      </c>
      <c r="AN79" t="str">
        <f>RTD("rtdtrading.rtdserver",, "TUPY3_B_0", "EST")</f>
        <v>Pré-Fechamento</v>
      </c>
      <c r="AO79" t="str">
        <f>RTD("rtdtrading.rtdserver",, "TUPY3_B_0", "BLACK")</f>
        <v>-</v>
      </c>
      <c r="AP79" t="str">
        <f>RTD("rtdtrading.rtdserver",, "TUPY3_B_0", "IMPVT")</f>
        <v>-</v>
      </c>
      <c r="AQ79" t="str">
        <f>RTD("rtdtrading.rtdserver",, "TUPY3_B_0", "DELTA")</f>
        <v>-</v>
      </c>
      <c r="AR79" t="str">
        <f>RTD("rtdtrading.rtdserver",, "TUPY3_B_0", "GAMA")</f>
        <v>-</v>
      </c>
      <c r="AS79" t="str">
        <f>RTD("rtdtrading.rtdserver",, "TUPY3_B_0", "THETA")</f>
        <v>-</v>
      </c>
      <c r="AT79" t="str">
        <f>RTD("rtdtrading.rtdserver",, "TUPY3_B_0", "RHO")</f>
        <v>-</v>
      </c>
      <c r="AU79" t="str">
        <f>RTD("rtdtrading.rtdserver",, "TUPY3_B_0", "VEGA")</f>
        <v>-</v>
      </c>
      <c r="AV79" t="str">
        <f>RTD("rtdtrading.rtdserver",, "TUPY3_B_0", "VIA")</f>
        <v>-</v>
      </c>
      <c r="AW79" t="str">
        <f>RTD("rtdtrading.rtdserver",, "TUPY3_B_0", "VIB")</f>
        <v>-</v>
      </c>
      <c r="AX79" t="str">
        <f>RTD("rtdtrading.rtdserver",, "TUPY3_B_0", "DOBRAR")</f>
        <v>-</v>
      </c>
      <c r="AY79" t="str">
        <f>RTD("rtdtrading.rtdserver",, "TUPY3_B_0", "VIVH")</f>
        <v>-</v>
      </c>
      <c r="AZ79" t="str">
        <f>RTD("rtdtrading.rtdserver",, "TUPY3_B_0", "VINT")</f>
        <v>-</v>
      </c>
      <c r="BA79" t="str">
        <f>RTD("rtdtrading.rtdserver",, "TUPY3_B_0", "VEXT")</f>
        <v>-</v>
      </c>
    </row>
    <row r="80" spans="3:53" x14ac:dyDescent="0.25">
      <c r="C80" t="s">
        <v>283</v>
      </c>
      <c r="D80" t="str">
        <f>RTD("rtdtrading.rtdserver",, "KLBN11_B_0", "DAT")</f>
        <v>14/10/2025</v>
      </c>
      <c r="E80" t="str">
        <f>RTD("rtdtrading.rtdserver",, "KLBN11_B_0", "HOR")</f>
        <v>17:59:53</v>
      </c>
      <c r="F80">
        <f>RTD("rtdtrading.rtdserver",, "KLBN11_B_0", "ULT")</f>
        <v>17.45</v>
      </c>
      <c r="G80">
        <f>RTD("rtdtrading.rtdserver",, "KLBN11_B_0", "ABE")</f>
        <v>17.45</v>
      </c>
      <c r="H80">
        <f>RTD("rtdtrading.rtdserver",, "KLBN11_B_0", "MAX")</f>
        <v>17.600000000000001</v>
      </c>
      <c r="I80">
        <f>RTD("rtdtrading.rtdserver",, "KLBN11_B_0", "MIN")</f>
        <v>17.43</v>
      </c>
      <c r="J80">
        <f>RTD("rtdtrading.rtdserver",, "KLBN11_B_0", "FEC")</f>
        <v>17.52</v>
      </c>
      <c r="K80">
        <f>RTD("rtdtrading.rtdserver",, "KLBN11_B_0", "PEX")</f>
        <v>0</v>
      </c>
      <c r="L80">
        <f>RTD("rtdtrading.rtdserver",, "KLBN11_B_0", "VAR")</f>
        <v>-0.39954337899543541</v>
      </c>
      <c r="M80">
        <f>RTD("rtdtrading.rtdserver",, "KLBN11_B_0", "VARPTS")</f>
        <v>-7.0000000000000284E-2</v>
      </c>
      <c r="N80">
        <f>RTD("rtdtrading.rtdserver",, "KLBN11_B_0", "MED")</f>
        <v>17.482559239407241</v>
      </c>
      <c r="O80" t="s">
        <v>394</v>
      </c>
      <c r="P80">
        <f>RTD("rtdtrading.rtdserver",, "KLBN11_B_0", "NEG")</f>
        <v>8033</v>
      </c>
      <c r="Q80">
        <f>RTD("rtdtrading.rtdserver",, "KLBN11_B_0", "QUL")</f>
        <v>0</v>
      </c>
      <c r="R80">
        <f>RTD("rtdtrading.rtdserver",, "KLBN11_B_0", "QTT")</f>
        <v>4123100</v>
      </c>
      <c r="S80">
        <f>RTD("rtdtrading.rtdserver",, "KLBN11_B_0", "VOL")</f>
        <v>72082340</v>
      </c>
      <c r="T80">
        <f>RTD("rtdtrading.rtdserver",, "KLBN11_B_0", "OCP")</f>
        <v>17.45</v>
      </c>
      <c r="U80">
        <f>RTD("rtdtrading.rtdserver",, "KLBN11_B_0", "OVD")</f>
        <v>17.559999999999999</v>
      </c>
      <c r="V80">
        <f>RTD("rtdtrading.rtdserver",, "KLBN11_B_0", "VOC")</f>
        <v>400</v>
      </c>
      <c r="W80">
        <f>RTD("rtdtrading.rtdserver",, "KLBN11_B_0", "VOV")</f>
        <v>900</v>
      </c>
      <c r="X80">
        <f>RTD("rtdtrading.rtdserver",, "KLBN11_B_0", "AJU")</f>
        <v>0</v>
      </c>
      <c r="Y80">
        <f>RTD("rtdtrading.rtdserver",, "KLBN11_B_0", "AJA")</f>
        <v>0</v>
      </c>
      <c r="Z80">
        <f>RTD("rtdtrading.rtdserver",, "KLBN11_B_0", "PRT")</f>
        <v>0</v>
      </c>
      <c r="AA80">
        <f>RTD("rtdtrading.rtdserver",, "KLBN11_B_0", "QTE")</f>
        <v>0</v>
      </c>
      <c r="AB80">
        <f>RTD("rtdtrading.rtdserver",, "KLBN11_B_0", "VPJ")</f>
        <v>72082340</v>
      </c>
      <c r="AC80">
        <f>RTD("rtdtrading.rtdserver",, "KLBN11_B_0", "SEM")</f>
        <v>0.4605641911341295</v>
      </c>
      <c r="AD80">
        <f>RTD("rtdtrading.rtdserver",, "KLBN11_B_0", "MES")</f>
        <v>-3.2705099778270506</v>
      </c>
      <c r="AE80">
        <f>RTD("rtdtrading.rtdserver",, "KLBN11_B_0", "3M")</f>
        <v>-6.9248945237701616</v>
      </c>
      <c r="AF80">
        <f>RTD("rtdtrading.rtdserver",, "KLBN11_B_0", "6M")</f>
        <v>-1.0927970616908986</v>
      </c>
      <c r="AG80">
        <f>RTD("rtdtrading.rtdserver",, "KLBN11_B_0", "12M")</f>
        <v>-9.0107987756868582</v>
      </c>
      <c r="AH80">
        <f>RTD("rtdtrading.rtdserver",, "KLBN11_B_0", "ANO")</f>
        <v>-22.703131298365925</v>
      </c>
      <c r="AI80">
        <f>RTD("rtdtrading.rtdserver",, "KLBN11_B_0", "TRIM")</f>
        <v>-3.2705099778270506</v>
      </c>
      <c r="AJ80">
        <f>RTD("rtdtrading.rtdserver",, "KLBN11_B_0", "SEMES")</f>
        <v>-4.1498448271126938</v>
      </c>
      <c r="AK80" t="str">
        <f>RTD("rtdtrading.rtdserver",, "KLBN11_B_0", "VEN")</f>
        <v>-</v>
      </c>
      <c r="AL80" t="str">
        <f>RTD("rtdtrading.rtdserver",, "KLBN11_B_0", "VAL")</f>
        <v>31/12/9999</v>
      </c>
      <c r="AM80">
        <f>RTD("rtdtrading.rtdserver",, "KLBN11_B_0", "CAB")</f>
        <v>0</v>
      </c>
      <c r="AN80" t="str">
        <f>RTD("rtdtrading.rtdserver",, "KLBN11_B_0", "EST")</f>
        <v>Pré-Fechamento</v>
      </c>
      <c r="AO80" t="str">
        <f>RTD("rtdtrading.rtdserver",, "KLBN11_B_0", "BLACK")</f>
        <v>-</v>
      </c>
      <c r="AP80" t="str">
        <f>RTD("rtdtrading.rtdserver",, "KLBN11_B_0", "IMPVT")</f>
        <v>-</v>
      </c>
      <c r="AQ80" t="str">
        <f>RTD("rtdtrading.rtdserver",, "KLBN11_B_0", "DELTA")</f>
        <v>-</v>
      </c>
      <c r="AR80" t="str">
        <f>RTD("rtdtrading.rtdserver",, "KLBN11_B_0", "GAMA")</f>
        <v>-</v>
      </c>
      <c r="AS80" t="str">
        <f>RTD("rtdtrading.rtdserver",, "KLBN11_B_0", "THETA")</f>
        <v>-</v>
      </c>
      <c r="AT80" t="str">
        <f>RTD("rtdtrading.rtdserver",, "KLBN11_B_0", "RHO")</f>
        <v>-</v>
      </c>
      <c r="AU80" t="str">
        <f>RTD("rtdtrading.rtdserver",, "KLBN11_B_0", "VEGA")</f>
        <v>-</v>
      </c>
      <c r="AV80" t="str">
        <f>RTD("rtdtrading.rtdserver",, "KLBN11_B_0", "VIA")</f>
        <v>-</v>
      </c>
      <c r="AW80" t="str">
        <f>RTD("rtdtrading.rtdserver",, "KLBN11_B_0", "VIB")</f>
        <v>-</v>
      </c>
      <c r="AX80" t="str">
        <f>RTD("rtdtrading.rtdserver",, "KLBN11_B_0", "DOBRAR")</f>
        <v>-</v>
      </c>
      <c r="AY80" t="str">
        <f>RTD("rtdtrading.rtdserver",, "KLBN11_B_0", "VIVH")</f>
        <v>-</v>
      </c>
      <c r="AZ80" t="str">
        <f>RTD("rtdtrading.rtdserver",, "KLBN11_B_0", "VINT")</f>
        <v>-</v>
      </c>
      <c r="BA80" t="str">
        <f>RTD("rtdtrading.rtdserver",, "KLBN11_B_0", "VEXT")</f>
        <v>-</v>
      </c>
    </row>
    <row r="81" spans="3:53" x14ac:dyDescent="0.25">
      <c r="C81" t="s">
        <v>396</v>
      </c>
      <c r="D81" t="str">
        <f>RTD("rtdtrading.rtdserver",, "CAML3_B_0", "DAT")</f>
        <v>14/10/2025</v>
      </c>
      <c r="E81" t="str">
        <f>RTD("rtdtrading.rtdserver",, "CAML3_B_0", "HOR")</f>
        <v>17:54:39</v>
      </c>
      <c r="F81">
        <f>RTD("rtdtrading.rtdserver",, "CAML3_B_0", "ULT")</f>
        <v>4.91</v>
      </c>
      <c r="G81">
        <f>RTD("rtdtrading.rtdserver",, "CAML3_B_0", "ABE")</f>
        <v>4.9400000000000004</v>
      </c>
      <c r="H81">
        <f>RTD("rtdtrading.rtdserver",, "CAML3_B_0", "MAX")</f>
        <v>5.07</v>
      </c>
      <c r="I81">
        <f>RTD("rtdtrading.rtdserver",, "CAML3_B_0", "MIN")</f>
        <v>4.91</v>
      </c>
      <c r="J81">
        <f>RTD("rtdtrading.rtdserver",, "CAML3_B_0", "FEC")</f>
        <v>4.9800000000000004</v>
      </c>
      <c r="K81">
        <f>RTD("rtdtrading.rtdserver",, "CAML3_B_0", "PEX")</f>
        <v>0</v>
      </c>
      <c r="L81">
        <f>RTD("rtdtrading.rtdserver",, "CAML3_B_0", "VAR")</f>
        <v>-1.4056224899598448</v>
      </c>
      <c r="M81">
        <f>RTD("rtdtrading.rtdserver",, "CAML3_B_0", "VARPTS")</f>
        <v>-7.0000000000000284E-2</v>
      </c>
      <c r="N81">
        <f>RTD("rtdtrading.rtdserver",, "CAML3_B_0", "MED")</f>
        <v>4.9781669212609359</v>
      </c>
      <c r="O81" t="s">
        <v>457</v>
      </c>
      <c r="P81">
        <f>RTD("rtdtrading.rtdserver",, "CAML3_B_0", "NEG")</f>
        <v>1989</v>
      </c>
      <c r="Q81">
        <f>RTD("rtdtrading.rtdserver",, "CAML3_B_0", "QUL")</f>
        <v>0</v>
      </c>
      <c r="R81">
        <f>RTD("rtdtrading.rtdserver",, "CAML3_B_0", "QTT")</f>
        <v>720100</v>
      </c>
      <c r="S81">
        <f>RTD("rtdtrading.rtdserver",, "CAML3_B_0", "VOL")</f>
        <v>3584778</v>
      </c>
      <c r="T81">
        <f>RTD("rtdtrading.rtdserver",, "CAML3_B_0", "OCP")</f>
        <v>4.9000000000000004</v>
      </c>
      <c r="U81">
        <f>RTD("rtdtrading.rtdserver",, "CAML3_B_0", "OVD")</f>
        <v>4.97</v>
      </c>
      <c r="V81">
        <f>RTD("rtdtrading.rtdserver",, "CAML3_B_0", "VOC")</f>
        <v>1500</v>
      </c>
      <c r="W81">
        <f>RTD("rtdtrading.rtdserver",, "CAML3_B_0", "VOV")</f>
        <v>1000</v>
      </c>
      <c r="X81">
        <f>RTD("rtdtrading.rtdserver",, "CAML3_B_0", "AJU")</f>
        <v>0</v>
      </c>
      <c r="Y81">
        <f>RTD("rtdtrading.rtdserver",, "CAML3_B_0", "AJA")</f>
        <v>0</v>
      </c>
      <c r="Z81">
        <f>RTD("rtdtrading.rtdserver",, "CAML3_B_0", "PRT")</f>
        <v>0</v>
      </c>
      <c r="AA81">
        <f>RTD("rtdtrading.rtdserver",, "CAML3_B_0", "QTE")</f>
        <v>0</v>
      </c>
      <c r="AB81">
        <f>RTD("rtdtrading.rtdserver",, "CAML3_B_0", "VPJ")</f>
        <v>3584778</v>
      </c>
      <c r="AC81">
        <f>RTD("rtdtrading.rtdserver",, "CAML3_B_0", "SEM")</f>
        <v>0.40899795501021613</v>
      </c>
      <c r="AD81">
        <f>RTD("rtdtrading.rtdserver",, "CAML3_B_0", "MES")</f>
        <v>-2.7722772277227659</v>
      </c>
      <c r="AE81">
        <f>RTD("rtdtrading.rtdserver",, "CAML3_B_0", "3M")</f>
        <v>-4.8836713740532032</v>
      </c>
      <c r="AF81">
        <f>RTD("rtdtrading.rtdserver",, "CAML3_B_0", "6M")</f>
        <v>26.847163377079674</v>
      </c>
      <c r="AG81">
        <f>RTD("rtdtrading.rtdserver",, "CAML3_B_0", "12M")</f>
        <v>-37.262017326416398</v>
      </c>
      <c r="AH81">
        <f>RTD("rtdtrading.rtdserver",, "CAML3_B_0", "ANO")</f>
        <v>-12.391827995360879</v>
      </c>
      <c r="AI81">
        <f>RTD("rtdtrading.rtdserver",, "CAML3_B_0", "TRIM")</f>
        <v>-2.7722772277227659</v>
      </c>
      <c r="AJ81">
        <f>RTD("rtdtrading.rtdserver",, "CAML3_B_0", "SEMES")</f>
        <v>-2.8396161076481725</v>
      </c>
      <c r="AK81" t="str">
        <f>RTD("rtdtrading.rtdserver",, "CAML3_B_0", "VEN")</f>
        <v>-</v>
      </c>
      <c r="AL81" t="str">
        <f>RTD("rtdtrading.rtdserver",, "CAML3_B_0", "VAL")</f>
        <v>31/12/9999</v>
      </c>
      <c r="AM81">
        <f>RTD("rtdtrading.rtdserver",, "CAML3_B_0", "CAB")</f>
        <v>0</v>
      </c>
      <c r="AN81" t="str">
        <f>RTD("rtdtrading.rtdserver",, "CAML3_B_0", "EST")</f>
        <v>Pré-Fechamento</v>
      </c>
      <c r="AO81" t="str">
        <f>RTD("rtdtrading.rtdserver",, "CAML3_B_0", "BLACK")</f>
        <v>-</v>
      </c>
      <c r="AP81" t="str">
        <f>RTD("rtdtrading.rtdserver",, "CAML3_B_0", "IMPVT")</f>
        <v>-</v>
      </c>
      <c r="AQ81" t="str">
        <f>RTD("rtdtrading.rtdserver",, "CAML3_B_0", "DELTA")</f>
        <v>-</v>
      </c>
      <c r="AR81" t="str">
        <f>RTD("rtdtrading.rtdserver",, "CAML3_B_0", "GAMA")</f>
        <v>-</v>
      </c>
      <c r="AS81" t="str">
        <f>RTD("rtdtrading.rtdserver",, "CAML3_B_0", "THETA")</f>
        <v>-</v>
      </c>
      <c r="AT81" t="str">
        <f>RTD("rtdtrading.rtdserver",, "CAML3_B_0", "RHO")</f>
        <v>-</v>
      </c>
      <c r="AU81" t="str">
        <f>RTD("rtdtrading.rtdserver",, "CAML3_B_0", "VEGA")</f>
        <v>-</v>
      </c>
      <c r="AV81" t="str">
        <f>RTD("rtdtrading.rtdserver",, "CAML3_B_0", "VIA")</f>
        <v>-</v>
      </c>
      <c r="AW81" t="str">
        <f>RTD("rtdtrading.rtdserver",, "CAML3_B_0", "VIB")</f>
        <v>-</v>
      </c>
      <c r="AX81" t="str">
        <f>RTD("rtdtrading.rtdserver",, "CAML3_B_0", "DOBRAR")</f>
        <v>-</v>
      </c>
      <c r="AY81" t="str">
        <f>RTD("rtdtrading.rtdserver",, "CAML3_B_0", "VIVH")</f>
        <v>-</v>
      </c>
      <c r="AZ81" t="str">
        <f>RTD("rtdtrading.rtdserver",, "CAML3_B_0", "VINT")</f>
        <v>-</v>
      </c>
      <c r="BA81" t="str">
        <f>RTD("rtdtrading.rtdserver",, "CAML3_B_0", "VEXT")</f>
        <v>-</v>
      </c>
    </row>
    <row r="82" spans="3:53" x14ac:dyDescent="0.25">
      <c r="C82" t="s">
        <v>399</v>
      </c>
      <c r="D82" t="str">
        <f>RTD("rtdtrading.rtdserver",, "TTEN3_B_0", "DAT")</f>
        <v>14/10/2025</v>
      </c>
      <c r="E82" t="str">
        <f>RTD("rtdtrading.rtdserver",, "TTEN3_B_0", "HOR")</f>
        <v>17:56:54</v>
      </c>
      <c r="F82">
        <f>RTD("rtdtrading.rtdserver",, "TTEN3_B_0", "ULT")</f>
        <v>13.75</v>
      </c>
      <c r="G82">
        <f>RTD("rtdtrading.rtdserver",, "TTEN3_B_0", "ABE")</f>
        <v>13.67</v>
      </c>
      <c r="H82">
        <f>RTD("rtdtrading.rtdserver",, "TTEN3_B_0", "MAX")</f>
        <v>13.82</v>
      </c>
      <c r="I82">
        <f>RTD("rtdtrading.rtdserver",, "TTEN3_B_0", "MIN")</f>
        <v>13.53</v>
      </c>
      <c r="J82">
        <f>RTD("rtdtrading.rtdserver",, "TTEN3_B_0", "FEC")</f>
        <v>13.680000000000001</v>
      </c>
      <c r="K82">
        <f>RTD("rtdtrading.rtdserver",, "TTEN3_B_0", "PEX")</f>
        <v>0</v>
      </c>
      <c r="L82">
        <f>RTD("rtdtrading.rtdserver",, "TTEN3_B_0", "VAR")</f>
        <v>0.51169590643273755</v>
      </c>
      <c r="M82">
        <f>RTD("rtdtrading.rtdserver",, "TTEN3_B_0", "VARPTS")</f>
        <v>6.9999999999998508E-2</v>
      </c>
      <c r="N82">
        <f>RTD("rtdtrading.rtdserver",, "TTEN3_B_0", "MED")</f>
        <v>13.733078909868187</v>
      </c>
      <c r="O82" t="s">
        <v>400</v>
      </c>
      <c r="P82">
        <f>RTD("rtdtrading.rtdserver",, "TTEN3_B_0", "NEG")</f>
        <v>3877</v>
      </c>
      <c r="Q82">
        <f>RTD("rtdtrading.rtdserver",, "TTEN3_B_0", "QUL")</f>
        <v>0</v>
      </c>
      <c r="R82">
        <f>RTD("rtdtrading.rtdserver",, "TTEN3_B_0", "QTT")</f>
        <v>1122800</v>
      </c>
      <c r="S82">
        <f>RTD("rtdtrading.rtdserver",, "TTEN3_B_0", "VOL")</f>
        <v>15419501</v>
      </c>
      <c r="T82">
        <f>RTD("rtdtrading.rtdserver",, "TTEN3_B_0", "OCP")</f>
        <v>13.65</v>
      </c>
      <c r="U82">
        <f>RTD("rtdtrading.rtdserver",, "TTEN3_B_0", "OVD")</f>
        <v>13.83</v>
      </c>
      <c r="V82">
        <f>RTD("rtdtrading.rtdserver",, "TTEN3_B_0", "VOC")</f>
        <v>300</v>
      </c>
      <c r="W82">
        <f>RTD("rtdtrading.rtdserver",, "TTEN3_B_0", "VOV")</f>
        <v>400</v>
      </c>
      <c r="X82">
        <f>RTD("rtdtrading.rtdserver",, "TTEN3_B_0", "AJU")</f>
        <v>0</v>
      </c>
      <c r="Y82">
        <f>RTD("rtdtrading.rtdserver",, "TTEN3_B_0", "AJA")</f>
        <v>0</v>
      </c>
      <c r="Z82">
        <f>RTD("rtdtrading.rtdserver",, "TTEN3_B_0", "PRT")</f>
        <v>0</v>
      </c>
      <c r="AA82">
        <f>RTD("rtdtrading.rtdserver",, "TTEN3_B_0", "QTE")</f>
        <v>0</v>
      </c>
      <c r="AB82">
        <f>RTD("rtdtrading.rtdserver",, "TTEN3_B_0", "VPJ")</f>
        <v>15419501</v>
      </c>
      <c r="AC82">
        <f>RTD("rtdtrading.rtdserver",, "TTEN3_B_0", "SEM")</f>
        <v>0.29175784099197044</v>
      </c>
      <c r="AD82">
        <f>RTD("rtdtrading.rtdserver",, "TTEN3_B_0", "MES")</f>
        <v>-1.6452074391988585</v>
      </c>
      <c r="AE82">
        <f>RTD("rtdtrading.rtdserver",, "TTEN3_B_0", "3M")</f>
        <v>0.21865889212827522</v>
      </c>
      <c r="AF82">
        <f>RTD("rtdtrading.rtdserver",, "TTEN3_B_0", "6M")</f>
        <v>-5.6280027453671941</v>
      </c>
      <c r="AG82">
        <f>RTD("rtdtrading.rtdserver",, "TTEN3_B_0", "12M")</f>
        <v>30.794182274772407</v>
      </c>
      <c r="AH82">
        <f>RTD("rtdtrading.rtdserver",, "TTEN3_B_0", "ANO")</f>
        <v>1.3794984848373073</v>
      </c>
      <c r="AI82">
        <f>RTD("rtdtrading.rtdserver",, "TTEN3_B_0", "TRIM")</f>
        <v>-1.6452074391988585</v>
      </c>
      <c r="AJ82">
        <f>RTD("rtdtrading.rtdserver",, "TTEN3_B_0", "SEMES")</f>
        <v>-9.0006618133686374</v>
      </c>
      <c r="AK82" t="str">
        <f>RTD("rtdtrading.rtdserver",, "TTEN3_B_0", "VEN")</f>
        <v>-</v>
      </c>
      <c r="AL82" t="str">
        <f>RTD("rtdtrading.rtdserver",, "TTEN3_B_0", "VAL")</f>
        <v>31/12/9999</v>
      </c>
      <c r="AM82">
        <f>RTD("rtdtrading.rtdserver",, "TTEN3_B_0", "CAB")</f>
        <v>0</v>
      </c>
      <c r="AN82" t="str">
        <f>RTD("rtdtrading.rtdserver",, "TTEN3_B_0", "EST")</f>
        <v>Pré-Fechamento</v>
      </c>
      <c r="AO82" t="str">
        <f>RTD("rtdtrading.rtdserver",, "TTEN3_B_0", "BLACK")</f>
        <v>-</v>
      </c>
      <c r="AP82" t="str">
        <f>RTD("rtdtrading.rtdserver",, "TTEN3_B_0", "IMPVT")</f>
        <v>-</v>
      </c>
      <c r="AQ82" t="str">
        <f>RTD("rtdtrading.rtdserver",, "TTEN3_B_0", "DELTA")</f>
        <v>-</v>
      </c>
      <c r="AR82" t="str">
        <f>RTD("rtdtrading.rtdserver",, "TTEN3_B_0", "GAMA")</f>
        <v>-</v>
      </c>
      <c r="AS82" t="str">
        <f>RTD("rtdtrading.rtdserver",, "TTEN3_B_0", "THETA")</f>
        <v>-</v>
      </c>
      <c r="AT82" t="str">
        <f>RTD("rtdtrading.rtdserver",, "TTEN3_B_0", "RHO")</f>
        <v>-</v>
      </c>
      <c r="AU82" t="str">
        <f>RTD("rtdtrading.rtdserver",, "TTEN3_B_0", "VEGA")</f>
        <v>-</v>
      </c>
      <c r="AV82" t="str">
        <f>RTD("rtdtrading.rtdserver",, "TTEN3_B_0", "VIA")</f>
        <v>-</v>
      </c>
      <c r="AW82" t="str">
        <f>RTD("rtdtrading.rtdserver",, "TTEN3_B_0", "VIB")</f>
        <v>-</v>
      </c>
      <c r="AX82" t="str">
        <f>RTD("rtdtrading.rtdserver",, "TTEN3_B_0", "DOBRAR")</f>
        <v>-</v>
      </c>
      <c r="AY82" t="str">
        <f>RTD("rtdtrading.rtdserver",, "TTEN3_B_0", "VIVH")</f>
        <v>-</v>
      </c>
      <c r="AZ82" t="str">
        <f>RTD("rtdtrading.rtdserver",, "TTEN3_B_0", "VINT")</f>
        <v>-</v>
      </c>
      <c r="BA82" t="str">
        <f>RTD("rtdtrading.rtdserver",, "TTEN3_B_0", "VEXT")</f>
        <v>-</v>
      </c>
    </row>
    <row r="83" spans="3:53" x14ac:dyDescent="0.25">
      <c r="C83" t="s">
        <v>402</v>
      </c>
      <c r="D83" t="str">
        <f>RTD("rtdtrading.rtdserver",, "RANI3_B_0", "DAT")</f>
        <v>14/10/2025</v>
      </c>
      <c r="E83" t="str">
        <f>RTD("rtdtrading.rtdserver",, "RANI3_B_0", "HOR")</f>
        <v>17:56:44</v>
      </c>
      <c r="F83">
        <f>RTD("rtdtrading.rtdserver",, "RANI3_B_0", "ULT")</f>
        <v>8.8600000000000012</v>
      </c>
      <c r="G83">
        <f>RTD("rtdtrading.rtdserver",, "RANI3_B_0", "ABE")</f>
        <v>8.67</v>
      </c>
      <c r="H83">
        <f>RTD("rtdtrading.rtdserver",, "RANI3_B_0", "MAX")</f>
        <v>8.93</v>
      </c>
      <c r="I83">
        <f>RTD("rtdtrading.rtdserver",, "RANI3_B_0", "MIN")</f>
        <v>8.66</v>
      </c>
      <c r="J83">
        <f>RTD("rtdtrading.rtdserver",, "RANI3_B_0", "FEC")</f>
        <v>8.7100000000000009</v>
      </c>
      <c r="K83">
        <f>RTD("rtdtrading.rtdserver",, "RANI3_B_0", "PEX")</f>
        <v>0</v>
      </c>
      <c r="L83">
        <f>RTD("rtdtrading.rtdserver",, "RANI3_B_0", "VAR")</f>
        <v>1.7221584385763531</v>
      </c>
      <c r="M83">
        <f>RTD("rtdtrading.rtdserver",, "RANI3_B_0", "VARPTS")</f>
        <v>0.15000000000000036</v>
      </c>
      <c r="N83">
        <f>RTD("rtdtrading.rtdserver",, "RANI3_B_0", "MED")</f>
        <v>8.8400712174146729</v>
      </c>
      <c r="O83" t="s">
        <v>403</v>
      </c>
      <c r="P83">
        <f>RTD("rtdtrading.rtdserver",, "RANI3_B_0", "NEG")</f>
        <v>1952</v>
      </c>
      <c r="Q83">
        <f>RTD("rtdtrading.rtdserver",, "RANI3_B_0", "QUL")</f>
        <v>0</v>
      </c>
      <c r="R83">
        <f>RTD("rtdtrading.rtdserver",, "RANI3_B_0", "QTT")</f>
        <v>744200</v>
      </c>
      <c r="S83">
        <f>RTD("rtdtrading.rtdserver",, "RANI3_B_0", "VOL")</f>
        <v>6578781</v>
      </c>
      <c r="T83">
        <f>RTD("rtdtrading.rtdserver",, "RANI3_B_0", "OCP")</f>
        <v>8.8000000000000007</v>
      </c>
      <c r="U83">
        <f>RTD("rtdtrading.rtdserver",, "RANI3_B_0", "OVD")</f>
        <v>8.85</v>
      </c>
      <c r="V83">
        <f>RTD("rtdtrading.rtdserver",, "RANI3_B_0", "VOC")</f>
        <v>800</v>
      </c>
      <c r="W83">
        <f>RTD("rtdtrading.rtdserver",, "RANI3_B_0", "VOV")</f>
        <v>500</v>
      </c>
      <c r="X83">
        <f>RTD("rtdtrading.rtdserver",, "RANI3_B_0", "AJU")</f>
        <v>0</v>
      </c>
      <c r="Y83">
        <f>RTD("rtdtrading.rtdserver",, "RANI3_B_0", "AJA")</f>
        <v>0</v>
      </c>
      <c r="Z83">
        <f>RTD("rtdtrading.rtdserver",, "RANI3_B_0", "PRT")</f>
        <v>0</v>
      </c>
      <c r="AA83">
        <f>RTD("rtdtrading.rtdserver",, "RANI3_B_0", "QTE")</f>
        <v>0</v>
      </c>
      <c r="AB83">
        <f>RTD("rtdtrading.rtdserver",, "RANI3_B_0", "VPJ")</f>
        <v>6578781</v>
      </c>
      <c r="AC83">
        <f>RTD("rtdtrading.rtdserver",, "RANI3_B_0", "SEM")</f>
        <v>1.4891179839633537</v>
      </c>
      <c r="AD83">
        <f>RTD("rtdtrading.rtdserver",, "RANI3_B_0", "MES")</f>
        <v>6.2350119904076902</v>
      </c>
      <c r="AE83">
        <f>RTD("rtdtrading.rtdserver",, "RANI3_B_0", "3M")</f>
        <v>24.29679718298004</v>
      </c>
      <c r="AF83">
        <f>RTD("rtdtrading.rtdserver",, "RANI3_B_0", "6M")</f>
        <v>31.543783591175</v>
      </c>
      <c r="AG83">
        <f>RTD("rtdtrading.rtdserver",, "RANI3_B_0", "12M")</f>
        <v>30.794213167995295</v>
      </c>
      <c r="AH83">
        <f>RTD("rtdtrading.rtdserver",, "RANI3_B_0", "ANO")</f>
        <v>42.452890861148632</v>
      </c>
      <c r="AI83">
        <f>RTD("rtdtrading.rtdserver",, "RANI3_B_0", "TRIM")</f>
        <v>6.2350119904076902</v>
      </c>
      <c r="AJ83">
        <f>RTD("rtdtrading.rtdserver",, "RANI3_B_0", "SEMES")</f>
        <v>23.611808694681635</v>
      </c>
      <c r="AK83" t="str">
        <f>RTD("rtdtrading.rtdserver",, "RANI3_B_0", "VEN")</f>
        <v>-</v>
      </c>
      <c r="AL83" t="str">
        <f>RTD("rtdtrading.rtdserver",, "RANI3_B_0", "VAL")</f>
        <v>31/12/9999</v>
      </c>
      <c r="AM83">
        <f>RTD("rtdtrading.rtdserver",, "RANI3_B_0", "CAB")</f>
        <v>0</v>
      </c>
      <c r="AN83" t="str">
        <f>RTD("rtdtrading.rtdserver",, "RANI3_B_0", "EST")</f>
        <v>Pré-Fechamento</v>
      </c>
      <c r="AO83" t="str">
        <f>RTD("rtdtrading.rtdserver",, "RANI3_B_0", "BLACK")</f>
        <v>-</v>
      </c>
      <c r="AP83" t="str">
        <f>RTD("rtdtrading.rtdserver",, "RANI3_B_0", "IMPVT")</f>
        <v>-</v>
      </c>
      <c r="AQ83" t="str">
        <f>RTD("rtdtrading.rtdserver",, "RANI3_B_0", "DELTA")</f>
        <v>-</v>
      </c>
      <c r="AR83" t="str">
        <f>RTD("rtdtrading.rtdserver",, "RANI3_B_0", "GAMA")</f>
        <v>-</v>
      </c>
      <c r="AS83" t="str">
        <f>RTD("rtdtrading.rtdserver",, "RANI3_B_0", "THETA")</f>
        <v>-</v>
      </c>
      <c r="AT83" t="str">
        <f>RTD("rtdtrading.rtdserver",, "RANI3_B_0", "RHO")</f>
        <v>-</v>
      </c>
      <c r="AU83" t="str">
        <f>RTD("rtdtrading.rtdserver",, "RANI3_B_0", "VEGA")</f>
        <v>-</v>
      </c>
      <c r="AV83" t="str">
        <f>RTD("rtdtrading.rtdserver",, "RANI3_B_0", "VIA")</f>
        <v>-</v>
      </c>
      <c r="AW83" t="str">
        <f>RTD("rtdtrading.rtdserver",, "RANI3_B_0", "VIB")</f>
        <v>-</v>
      </c>
      <c r="AX83" t="str">
        <f>RTD("rtdtrading.rtdserver",, "RANI3_B_0", "DOBRAR")</f>
        <v>-</v>
      </c>
      <c r="AY83" t="str">
        <f>RTD("rtdtrading.rtdserver",, "RANI3_B_0", "VIVH")</f>
        <v>-</v>
      </c>
      <c r="AZ83" t="str">
        <f>RTD("rtdtrading.rtdserver",, "RANI3_B_0", "VINT")</f>
        <v>-</v>
      </c>
      <c r="BA83" t="str">
        <f>RTD("rtdtrading.rtdserver",, "RANI3_B_0", "VEXT")</f>
        <v>-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DASH</vt:lpstr>
      <vt:lpstr>justo</vt:lpstr>
      <vt:lpstr>dados</vt:lpstr>
      <vt:lpstr>Planilha1</vt:lpstr>
      <vt:lpstr>Importa do PROFIT</vt:lpstr>
      <vt:lpstr>feriadosWIN</vt:lpstr>
      <vt:lpstr>hoje</vt:lpstr>
      <vt:lpstr>vencimento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Coelho</dc:creator>
  <cp:keywords/>
  <dc:description/>
  <cp:lastModifiedBy>Gilberto Coelho</cp:lastModifiedBy>
  <cp:revision/>
  <dcterms:created xsi:type="dcterms:W3CDTF">2024-04-24T00:37:11Z</dcterms:created>
  <dcterms:modified xsi:type="dcterms:W3CDTF">2025-10-15T12:23:35Z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1441493552</vt:lpwstr>
  </property>
  <property fmtid="{D5CDD505-2E9C-101B-9397-08002B2CF9AE}" pid="3" name="EcoUpdateMessage">
    <vt:lpwstr>2025/09/04-22:52:32</vt:lpwstr>
  </property>
  <property fmtid="{D5CDD505-2E9C-101B-9397-08002B2CF9AE}" pid="4" name="EcoUpdateStatus">
    <vt:lpwstr>2025-09-04=BRA:St,ME,Fd,TP;USA:St,ME;ARG:St,ME,TP;MEX:St,ME,Fd;CHL:St,ME;PER:St,ME,Fd;SAU:St|2022-10-17=USA:TP|2025-09-03=ARG:Fd;MEX:TP;CHL:Fd;COL:St,ME,Fd|2021-11-17=CHL:TP|2014-02-26=VEN:St|2002-11-08=JPN:St|2025-08-21=GBR:St,ME|2016-08-18=NNN:St|2025-08-27=PER:TP|2007-01-31=ESP:St|2003-01-29=CHN:St|2003-01-28=TWN:St|2003-01-30=HKG:St;KOR:St|2023-01-19=OTH:St|2025-06-24=PAN:St|2024-06-24=SAU:ME</vt:lpwstr>
  </property>
</Properties>
</file>